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media/image25.png" ContentType="image/png"/>
  <Override PartName="/xl/media/image24.png" ContentType="image/png"/>
  <Override PartName="/xl/media/image23.png" ContentType="image/png"/>
  <Override PartName="/xl/media/image22.png" ContentType="image/png"/>
  <Override PartName="/xl/media/image21.png" ContentType="image/p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PIC32MX Osc Config" sheetId="1" state="visible" r:id="rId2"/>
    <sheet name="PIC32MZ Osc Config" sheetId="2" state="visible" r:id="rId3"/>
    <sheet name="MX OSC Block Diag" sheetId="3" state="visible" r:id="rId4"/>
    <sheet name="MZ Osc Block Diag" sheetId="4" state="visible" r:id="rId5"/>
    <sheet name="MZ Clock to Periph Table" sheetId="5" state="visible" r:id="rId6"/>
    <sheet name="Sheet1" sheetId="6" state="visible" r:id="rId7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E22" authorId="0">
      <text>
        <r>
          <rPr>
            <b val="true"/>
            <sz val="9"/>
            <color rgb="FF000000"/>
            <rFont val="Tahoma"/>
            <family val="2"/>
            <charset val="1"/>
          </rPr>
          <t>Max external clock frequency is 40 to 100 MHz depending on device (see data sheet).</t>
        </r>
      </text>
    </comment>
    <comment ref="E23" authorId="0">
      <text>
        <r>
          <rPr>
            <b val="true"/>
            <sz val="9"/>
            <color rgb="FF000000"/>
            <rFont val="Tahoma"/>
            <family val="2"/>
            <charset val="1"/>
          </rPr>
          <t>External oscillator frequency range:
XT:           3 - 10 MHz
XTPLL:    4 - 10 MHz
HS:        10 - 25 MHz
HSPLL: 10 - 25 MHz</t>
        </r>
      </text>
    </comment>
    <comment ref="E46" authorId="0">
      <text>
        <r>
          <rPr>
            <b val="true"/>
            <sz val="9"/>
            <color rgb="FF000000"/>
            <rFont val="Tahoma"/>
            <family val="2"/>
            <charset val="1"/>
          </rPr>
          <t>SOSC must be between 32KHz and 100KHz.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E22" authorId="0">
      <text>
        <r>
          <rPr>
            <b val="true"/>
            <sz val="9"/>
            <color rgb="FF000000"/>
            <rFont val="Tahoma"/>
            <family val="2"/>
            <charset val="1"/>
          </rPr>
          <t>Max external clock frequency is 64 MHz.</t>
        </r>
      </text>
    </comment>
    <comment ref="E23" authorId="0">
      <text>
        <r>
          <rPr>
            <b val="true"/>
            <sz val="9"/>
            <color rgb="FF000000"/>
            <rFont val="Tahoma"/>
            <family val="2"/>
            <charset val="1"/>
          </rPr>
          <t>External oscillator frequency must be between 4 and 32 MHz.</t>
        </r>
      </text>
    </comment>
    <comment ref="E46" authorId="0">
      <text>
        <r>
          <rPr>
            <b val="true"/>
            <sz val="9"/>
            <color rgb="FF000000"/>
            <rFont val="Tahoma"/>
            <family val="2"/>
            <charset val="1"/>
          </rPr>
          <t>SOSC must be between 32KHz and 100KHz.</t>
        </r>
      </text>
    </comment>
  </commentList>
</comments>
</file>

<file path=xl/sharedStrings.xml><?xml version="1.0" encoding="utf-8"?>
<sst xmlns="http://schemas.openxmlformats.org/spreadsheetml/2006/main" count="979" uniqueCount="463">
  <si>
    <t>PIC32MX Oscillator Configuration</t>
  </si>
  <si>
    <t>tuningValue = +\- 12.5%</t>
  </si>
  <si>
    <t>Notes:</t>
  </si>
  <si>
    <t>divisorFRC =</t>
  </si>
  <si>
    <t>OSC_FRC_DIV_2</t>
  </si>
  <si>
    <t>1)  Settings that produce red cells are invalid.</t>
  </si>
  <si>
    <t>MHz</t>
  </si>
  <si>
    <t>2)  See device data sheet for details.</t>
  </si>
  <si>
    <t>3)  Password to unprotect = "microchip"</t>
  </si>
  <si>
    <t>COSC =</t>
  </si>
  <si>
    <t>FPLLIDIV =</t>
  </si>
  <si>
    <t>DIV_2</t>
  </si>
  <si>
    <t>FPLLMUL =</t>
  </si>
  <si>
    <t>MUL_20</t>
  </si>
  <si>
    <t>FPLLODIV =</t>
  </si>
  <si>
    <t>External Clock Freq = </t>
  </si>
  <si>
    <t>External Crystal Freq = </t>
  </si>
  <si>
    <t>OSC1/</t>
  </si>
  <si>
    <t>CLKI</t>
  </si>
  <si>
    <t>OSC2/</t>
  </si>
  <si>
    <t>POSCMOD =</t>
  </si>
  <si>
    <t>EC</t>
  </si>
  <si>
    <t>CLKO</t>
  </si>
  <si>
    <t>usbClock=</t>
  </si>
  <si>
    <t>SYS_OSC_USBCLK_PRIMARY</t>
  </si>
  <si>
    <t>OSCIOFNC =</t>
  </si>
  <si>
    <t>ON</t>
  </si>
  <si>
    <t>UPLLIDIV=</t>
  </si>
  <si>
    <t>DIV_3</t>
  </si>
  <si>
    <t>UPLLEN=</t>
  </si>
  <si>
    <t>KHz</t>
  </si>
  <si>
    <t>FPBDIV =</t>
  </si>
  <si>
    <t>SOSCI</t>
  </si>
  <si>
    <t>FSOSCEN =</t>
  </si>
  <si>
    <t>SOSCO</t>
  </si>
  <si>
    <t>FNOSC =</t>
  </si>
  <si>
    <t>FRCPLL</t>
  </si>
  <si>
    <t>// Device Config Bits in  DEVCFG1:</t>
  </si>
  <si>
    <t>#pragma config FNOSC =</t>
  </si>
  <si>
    <t>#pragma config FSOSCEN =</t>
  </si>
  <si>
    <t>#pragma config POSCMOD =</t>
  </si>
  <si>
    <t>#pragma config OSCIOFNC =</t>
  </si>
  <si>
    <t>trimValue =</t>
  </si>
  <si>
    <t>#pragma config FPBDIV =</t>
  </si>
  <si>
    <t>refOscDiv =</t>
  </si>
  <si>
    <t>// Device Config Bits in  DEVCFG2:</t>
  </si>
  <si>
    <t>#pragma config FPLLIDIV =</t>
  </si>
  <si>
    <t>#pragma config FPLLMUL =</t>
  </si>
  <si>
    <t>Wunschtakt</t>
  </si>
  <si>
    <t>#pragma config FPLLODIV =</t>
  </si>
  <si>
    <t>Fehler [%]</t>
  </si>
  <si>
    <t>#pragma config UPLLIDIV =</t>
  </si>
  <si>
    <t>#pragma config UPLLEN =</t>
  </si>
  <si>
    <t>refOscBaseClock =</t>
  </si>
  <si>
    <t>OSC_REF_BASECLOCK_SYSPLLOUT</t>
  </si>
  <si>
    <t>Device configuration bit options:</t>
  </si>
  <si>
    <t>Bit Name</t>
  </si>
  <si>
    <t>Setting Options</t>
  </si>
  <si>
    <t>PLIB_OSC_FRCDivisorSelect (OSC_ID_0, divisorFRC);</t>
  </si>
  <si>
    <t>XT</t>
  </si>
  <si>
    <t>PLIB_OSC_FRCTuningSelect(OSC_ID_0, tuningValue);</t>
  </si>
  <si>
    <t>HS</t>
  </si>
  <si>
    <t>PLIB_OSC_PBClockDivisorSet (OSC_ID_0, OSC_PERIPHERAL_BUS_1, peripheralBusClkDiv); //default = FPBDIV</t>
  </si>
  <si>
    <t>OFF</t>
  </si>
  <si>
    <t>PLIB_OSC_SecondaryEnable(OSC_ID_0);                                                         //default value set by FSOSCEN</t>
  </si>
  <si>
    <t>PLIB_OSC_SecondaryDisable(OSC_ID_0);                                                        //default value set by FSOSCEN</t>
  </si>
  <si>
    <t>PLIB_OSC_SysClockSelect(OSC_ID_0, newOsc);                                              //default value set by FNOSC</t>
  </si>
  <si>
    <t>DIV_1</t>
  </si>
  <si>
    <t>PLIB_OSC_PLLEnable(OSC_ID_0, selectPLL);                                                  //enables USB or System PLL</t>
  </si>
  <si>
    <t>PLIB_OSC_PLLDisable(OSC_ID_0, selectPLL);                                                 //disables USB or System PLL</t>
  </si>
  <si>
    <t>PLIB_OSC_UsbClockSourceSelect(OSC_ID_0, usbClock);       // selects the Primary or FRC as base for USB clock</t>
  </si>
  <si>
    <t>DIV_4</t>
  </si>
  <si>
    <t>PLIB_OSC_SysPLLMultiplierSelect(OSC_ID_0, pll_multiplier);                           //default value set by FPLLMULT</t>
  </si>
  <si>
    <t>DIV_5</t>
  </si>
  <si>
    <t>PLIB_OSC_SysPLLOutputDivisorSet(OSC_ID_0, PLLOutDiv);                           //default value set by FPLLODIV</t>
  </si>
  <si>
    <t>DIV_6</t>
  </si>
  <si>
    <t>DIV_10</t>
  </si>
  <si>
    <t>PLIB_OSC_ReferenceOscBaseClockSelect (OSC_ID_0, OSC_REFERENCE_1, refOscBaseClock);</t>
  </si>
  <si>
    <t>DIV_12</t>
  </si>
  <si>
    <t>PLIB_OSC_ReferenceOscDisable(OSC_ID_0, OSC_REFERENCE_1);</t>
  </si>
  <si>
    <t>PLIB_OSC_ReferenceOscEnable(OSC_ID_0, OSC_REFERENCE_1);</t>
  </si>
  <si>
    <t>PLIB_OSC_ReferenceOscDivisorValueSet(OSC_ID_0, OSC_REFERENCE_1, refOscDiv);</t>
  </si>
  <si>
    <t>PLIB_OSC_ReferenceOscTrimSet(OSC_ID_0, OSC_REFERENCE_1, trimValue);</t>
  </si>
  <si>
    <t>MUL_15</t>
  </si>
  <si>
    <t>PLIB_OSC_ReferenceOutputDisable(OSC_ID_0, OSC_REFERENCE_1);</t>
  </si>
  <si>
    <t>MUL_16</t>
  </si>
  <si>
    <t>PLIB_OSC_ReferenceOutputEnable(OSC_ID_0, OSC_REFERENCE_1);</t>
  </si>
  <si>
    <t>MUL_17</t>
  </si>
  <si>
    <t>MUL_18</t>
  </si>
  <si>
    <t>MUL_19</t>
  </si>
  <si>
    <t>MUL_21</t>
  </si>
  <si>
    <t>MUL_24</t>
  </si>
  <si>
    <t>Harmony Function Parameters</t>
  </si>
  <si>
    <t>divisorFRC (used in PLIB_OSC_FRCDivisorSelect) (controls OSCCON: FRCDIV&lt;2:0&gt;)</t>
  </si>
  <si>
    <t>OSC_FRC_DIV_1</t>
  </si>
  <si>
    <t>DIV_8</t>
  </si>
  <si>
    <t>OSC_FRC_DIV_4</t>
  </si>
  <si>
    <t>DIV_16</t>
  </si>
  <si>
    <t>OSC_FRC_DIV_8</t>
  </si>
  <si>
    <t>DIV_32</t>
  </si>
  <si>
    <t>OSC_FRC_DIV_16</t>
  </si>
  <si>
    <t>DIV_64</t>
  </si>
  <si>
    <t>OSC_FRC_DIV_32</t>
  </si>
  <si>
    <t>DIV_256</t>
  </si>
  <si>
    <t>OSC_FRC_DIV_64</t>
  </si>
  <si>
    <t>OSC_FRC_DIV_256</t>
  </si>
  <si>
    <t>FRC</t>
  </si>
  <si>
    <t>tuningValue</t>
  </si>
  <si>
    <t>PRI</t>
  </si>
  <si>
    <t>PRIPLL</t>
  </si>
  <si>
    <t>…</t>
  </si>
  <si>
    <t>SOSC</t>
  </si>
  <si>
    <t>LPRC</t>
  </si>
  <si>
    <t>FRCDIV16</t>
  </si>
  <si>
    <t>peripheralBusClkDiv</t>
  </si>
  <si>
    <t>FRCDIV</t>
  </si>
  <si>
    <t>UPLLIDIV =</t>
  </si>
  <si>
    <t>newOsc</t>
  </si>
  <si>
    <t>OSC_FRC</t>
  </si>
  <si>
    <t>OSC_FRC_WITH_PLL</t>
  </si>
  <si>
    <t>OSC_PRIMARY</t>
  </si>
  <si>
    <t>OSC_PRIMARY_WITH_PLL</t>
  </si>
  <si>
    <t>OSC_SECONDARY</t>
  </si>
  <si>
    <t>OSC_LPRC</t>
  </si>
  <si>
    <t>OSC_FRC_DIV_BY_16</t>
  </si>
  <si>
    <t>UPLLEN =</t>
  </si>
  <si>
    <t>OSC_FRC_BY_FRCDIV</t>
  </si>
  <si>
    <t>selectPLL</t>
  </si>
  <si>
    <t>OSC_PLL_SYSTEM</t>
  </si>
  <si>
    <t>OSC_PLL_USB</t>
  </si>
  <si>
    <t>usbClock</t>
  </si>
  <si>
    <t>SYS_OSC_USBCLK_FRC</t>
  </si>
  <si>
    <t>PLLInClockSource</t>
  </si>
  <si>
    <t>OSC_SYSPLL_IN_CLK_SOURCE_FRC</t>
  </si>
  <si>
    <t>OSC_SYSPLL_IN_CLK_SOURCE_PRIMARY</t>
  </si>
  <si>
    <t>PLLInDiv</t>
  </si>
  <si>
    <t>OSC_SYSPLL_IN_DIV_1</t>
  </si>
  <si>
    <t>OSC_SYSPLL_IN_DIV_2</t>
  </si>
  <si>
    <t>OSC_SYSPLL_IN_DIV_3</t>
  </si>
  <si>
    <t>OSC_SYSPLL_IN_DIV_4</t>
  </si>
  <si>
    <t>OSC_SYSPLL_IN_DIV_5</t>
  </si>
  <si>
    <t>OSC_SYSPLL_IN_DIV_6</t>
  </si>
  <si>
    <t>OSC_SYSPLL_IN_DIV_7</t>
  </si>
  <si>
    <t>OSC_SYSPLL_IN_DIV_8</t>
  </si>
  <si>
    <t>pll_multiplier</t>
  </si>
  <si>
    <t>PLLOutDiv</t>
  </si>
  <si>
    <t>OSC_SYSPLL_OUT_DIV_1</t>
  </si>
  <si>
    <t>OSC_SYSPLL_OUT_DIV_2</t>
  </si>
  <si>
    <t>OSC_SYSPLL_OUT_DIV_4</t>
  </si>
  <si>
    <t>OSC_SYSPLL_OUT_DIV_8</t>
  </si>
  <si>
    <t>OSC_SYSPLL_OUT_DIV_16</t>
  </si>
  <si>
    <t>OSC_SYSPLL_OUT_DIV_32</t>
  </si>
  <si>
    <t>OSC_SYSPLL_OUT_DIV_64</t>
  </si>
  <si>
    <t>OSC_SYSPLL_OUT_DIV_256</t>
  </si>
  <si>
    <t>refOscBaseClock</t>
  </si>
  <si>
    <t>OSC_REF_BASECLOCK_FRC</t>
  </si>
  <si>
    <t>OSC_REF_BASECLOCK_PRIMARY</t>
  </si>
  <si>
    <t>OSC_REF_BASECLOCK_USBCLK</t>
  </si>
  <si>
    <t>OSC_REF_BASECLOCK_LPRC</t>
  </si>
  <si>
    <t>OSC_REF_BASECLOCK_SOSC</t>
  </si>
  <si>
    <t>OSC_REF_BASECLOCK_PBCLK</t>
  </si>
  <si>
    <t>OSC_REF_BASECLOCK_SYSCLK</t>
  </si>
  <si>
    <t>OSC_REF_BASECLOCK_EXT</t>
  </si>
  <si>
    <t>refOscDiv</t>
  </si>
  <si>
    <t>(this is a 15 bit field that can hold values from 1 to 32768)</t>
  </si>
  <si>
    <t>OSC_REF_DIV_1</t>
  </si>
  <si>
    <t>OSC_REF_DIV_2</t>
  </si>
  <si>
    <t>OSC_REF_DIV_4</t>
  </si>
  <si>
    <t>OSC_REF_DIV_8</t>
  </si>
  <si>
    <t>OSC_REF_DIV_16</t>
  </si>
  <si>
    <t>OSC_REF_DIV_32</t>
  </si>
  <si>
    <t>OSC_REF_DIV_64</t>
  </si>
  <si>
    <t>OSC_REF_DIV_128</t>
  </si>
  <si>
    <t>OSC_REF_DIV_256</t>
  </si>
  <si>
    <t>OSC_REF_DIV_512</t>
  </si>
  <si>
    <t>OSC_REF_DIV_1024</t>
  </si>
  <si>
    <t>OSC_REF_DIV_2048</t>
  </si>
  <si>
    <t>OSC_REF_DIV_4096</t>
  </si>
  <si>
    <t>OSC_REF_DIV_8192</t>
  </si>
  <si>
    <t>OSC_REF_DIV_16384</t>
  </si>
  <si>
    <t>OSC_REF_DIV_32768</t>
  </si>
  <si>
    <t>trimValue</t>
  </si>
  <si>
    <t>refOscDiv + trimValue =</t>
  </si>
  <si>
    <t>Cell formatting logic to find invalid input (false = no problem):</t>
  </si>
  <si>
    <t>cell #:</t>
  </si>
  <si>
    <t>E31</t>
  </si>
  <si>
    <t>Is OSC2 needed for crystal input (can't be used as clock out)?</t>
  </si>
  <si>
    <t>R49</t>
  </si>
  <si>
    <t>Is PLL output or SYSCLK &gt;100?</t>
  </si>
  <si>
    <t>M33</t>
  </si>
  <si>
    <t>Is USB PLL input &gt; 4?</t>
  </si>
  <si>
    <t>Is USB PLL input &lt; 4?</t>
  </si>
  <si>
    <t>Is there a problem?</t>
  </si>
  <si>
    <t>M20</t>
  </si>
  <si>
    <t>Is PLL input &lt;4?</t>
  </si>
  <si>
    <t>Is PLL input &gt;5?</t>
  </si>
  <si>
    <t>Is PLL enabled (1 = enabled)?</t>
  </si>
  <si>
    <t>E23</t>
  </si>
  <si>
    <t>POSCMOD = XT?</t>
  </si>
  <si>
    <t>Is external osc &lt; 4?</t>
  </si>
  <si>
    <t>Is external osc &gt; 10?</t>
  </si>
  <si>
    <t>POSCMOD = HS?</t>
  </si>
  <si>
    <t>Is external osc &lt; 10?</t>
  </si>
  <si>
    <t>Is external osc &gt; 25?</t>
  </si>
  <si>
    <t>E22</t>
  </si>
  <si>
    <t>Is external clock &gt;40 MHz?</t>
  </si>
  <si>
    <t>E46</t>
  </si>
  <si>
    <t>Is SOSC &lt; 32KHz?</t>
  </si>
  <si>
    <t>Is SOSC &gt; 100KHz?</t>
  </si>
  <si>
    <t>Is tthere a problem?</t>
  </si>
  <si>
    <t>Oscillator specs per MX1XX/2XX data sheet:</t>
  </si>
  <si>
    <t>Param. #</t>
  </si>
  <si>
    <t>Symbol</t>
  </si>
  <si>
    <t>Minimum</t>
  </si>
  <si>
    <t>Maximum</t>
  </si>
  <si>
    <t>Units</t>
  </si>
  <si>
    <t>Conditions</t>
  </si>
  <si>
    <t>Symbol Name</t>
  </si>
  <si>
    <t>OS10</t>
  </si>
  <si>
    <t>FOSC</t>
  </si>
  <si>
    <t>External CLKI Frequency</t>
  </si>
  <si>
    <t>ECPLL</t>
  </si>
  <si>
    <t>OS11</t>
  </si>
  <si>
    <t>OS12</t>
  </si>
  <si>
    <t>XTPLL</t>
  </si>
  <si>
    <t>OS13</t>
  </si>
  <si>
    <t>HS/HSPLL</t>
  </si>
  <si>
    <t>Oscillator Crystal Frequency</t>
  </si>
  <si>
    <t>OS15</t>
  </si>
  <si>
    <t>Sosc</t>
  </si>
  <si>
    <t>OS50</t>
  </si>
  <si>
    <t>FIN</t>
  </si>
  <si>
    <t>ECPLL, HSPLL, FRCPLL modes</t>
  </si>
  <si>
    <t>PLL Input Frequency Range</t>
  </si>
  <si>
    <t>Oscillator specs per MX3XX/4XX data sheet:</t>
  </si>
  <si>
    <t>Oscillator specs per MX330/350/370/430/450/470 data sheet:</t>
  </si>
  <si>
    <t>External CLKI Frequency (-40 to 85C)</t>
  </si>
  <si>
    <t>External CLKI Frequency (-40 to 105C)</t>
  </si>
  <si>
    <t>Oscillator specs per MX5XX/6XX/7XX data sheet:</t>
  </si>
  <si>
    <t>PIC32MZ Oscillator Configuration</t>
  </si>
  <si>
    <t>1)  Settings that produce red cells are invalid</t>
  </si>
  <si>
    <t>FPLLICLK =</t>
  </si>
  <si>
    <t>PLL_FRC</t>
  </si>
  <si>
    <t>FPLLMULT =</t>
  </si>
  <si>
    <t>MUL_50</t>
  </si>
  <si>
    <t>FPLLRNG =</t>
  </si>
  <si>
    <t>RANGE_5_10_MHZ</t>
  </si>
  <si>
    <t>peripheralBusClkDiv =</t>
  </si>
  <si>
    <t>UPLLFSEL =</t>
  </si>
  <si>
    <t>FREQ_12MHZ</t>
  </si>
  <si>
    <t>SPLL</t>
  </si>
  <si>
    <t>#pragma config FPLLICLK =</t>
  </si>
  <si>
    <t>#pragma config FPLLMULT =</t>
  </si>
  <si>
    <t>#pragma config FPLLRNG =</t>
  </si>
  <si>
    <t>#pragma config UPLLFSEL =</t>
  </si>
  <si>
    <t>x = 1, 3, 4 (REFCLK2 is internal only)</t>
  </si>
  <si>
    <t>MUL_1</t>
  </si>
  <si>
    <t>MUL_2</t>
  </si>
  <si>
    <t>PLIB_OSC_PBClockDivisorSet (OSC_ID_0, OSC_PERIPHERAL_BUS_x, peripheralBusClkDiv);</t>
  </si>
  <si>
    <t>MUL_3</t>
  </si>
  <si>
    <t>MUL_4</t>
  </si>
  <si>
    <t>MUL_5</t>
  </si>
  <si>
    <t>PLL_POSC</t>
  </si>
  <si>
    <t>MUL_6</t>
  </si>
  <si>
    <t>PLIB_OSC_PBOutputClockEnable (OSC_ID_0, peripheralBusNumber);        //controls "ON" bit in PBxDIV register</t>
  </si>
  <si>
    <t>MUL_7</t>
  </si>
  <si>
    <t>PLIB_OSC_PBOutputClockDisable (OSC_ID_0, peripheralBusNumber);       //controls "ON" bit in PBxDIV register</t>
  </si>
  <si>
    <t>MUL_8</t>
  </si>
  <si>
    <t>MUL_9</t>
  </si>
  <si>
    <t>MUL_10</t>
  </si>
  <si>
    <t>PLIB_OSC_SysPLLFrequencyRangeSet(OSC_ID_0, PLLFrequencyRange);    //default value set by FPLLRNG</t>
  </si>
  <si>
    <t>MUL_11</t>
  </si>
  <si>
    <t>PLIB_OSC_SysPLLInputClockSourceSet(OSC_ID_0, PLLInClockSource);        //default value set by FPLLICLK</t>
  </si>
  <si>
    <t>MUL_12</t>
  </si>
  <si>
    <t>PLIB_OSC_SysPLLInputDivisorSet(OSC_ID_0, PLLInDiv);                                 //default value set by FPLLIDIV</t>
  </si>
  <si>
    <t>MUL_13</t>
  </si>
  <si>
    <t>DIV_7</t>
  </si>
  <si>
    <t>MUL_14</t>
  </si>
  <si>
    <t>MUL_22</t>
  </si>
  <si>
    <t>MUL_23</t>
  </si>
  <si>
    <t>MUL_25</t>
  </si>
  <si>
    <t>MUL_26</t>
  </si>
  <si>
    <t>POSC</t>
  </si>
  <si>
    <t>MUL_27</t>
  </si>
  <si>
    <t>BFRC</t>
  </si>
  <si>
    <t>MUL_28</t>
  </si>
  <si>
    <t>MUL_29</t>
  </si>
  <si>
    <t>MUL_30</t>
  </si>
  <si>
    <t>MUL_31</t>
  </si>
  <si>
    <t>MUL_32</t>
  </si>
  <si>
    <t>RANGE_34_64_MHZ</t>
  </si>
  <si>
    <t>MUL_33</t>
  </si>
  <si>
    <t>RANGE_21_42_MHZ</t>
  </si>
  <si>
    <t>MUL_34</t>
  </si>
  <si>
    <t>RANGE_13_26_MHZ</t>
  </si>
  <si>
    <t>MUL_35</t>
  </si>
  <si>
    <t>RANGE_8_16_MHZ</t>
  </si>
  <si>
    <t>MUL_36</t>
  </si>
  <si>
    <t>MUL_37</t>
  </si>
  <si>
    <t>Bypass</t>
  </si>
  <si>
    <t>MUL_38</t>
  </si>
  <si>
    <t>MUL_39</t>
  </si>
  <si>
    <t>MUL_40</t>
  </si>
  <si>
    <t>MUL_41</t>
  </si>
  <si>
    <t>MUL_42</t>
  </si>
  <si>
    <t>FREQ_24MHZ</t>
  </si>
  <si>
    <t>MUL_43</t>
  </si>
  <si>
    <t>MUL_44</t>
  </si>
  <si>
    <t>MUL_45</t>
  </si>
  <si>
    <t>MUL_46</t>
  </si>
  <si>
    <t>MUL_47</t>
  </si>
  <si>
    <t>MUL_48</t>
  </si>
  <si>
    <t>MUL_49</t>
  </si>
  <si>
    <t>MUL_51</t>
  </si>
  <si>
    <t>MUL_52</t>
  </si>
  <si>
    <t>MUL_53</t>
  </si>
  <si>
    <t>MUL_54</t>
  </si>
  <si>
    <t>MUL_55</t>
  </si>
  <si>
    <t>MUL_56</t>
  </si>
  <si>
    <t>MUL_57</t>
  </si>
  <si>
    <t>MUL_58</t>
  </si>
  <si>
    <t>MUL_59</t>
  </si>
  <si>
    <t>MUL_60</t>
  </si>
  <si>
    <t>MUL_61</t>
  </si>
  <si>
    <t>peripheralBusNumber</t>
  </si>
  <si>
    <t>MUL_62</t>
  </si>
  <si>
    <t>OSC_PERIPHERAL_BUS_1</t>
  </si>
  <si>
    <t>MUL_63</t>
  </si>
  <si>
    <t>OSC_PERIPHERAL_BUS_2</t>
  </si>
  <si>
    <t>MUL_64</t>
  </si>
  <si>
    <t>OSC_PERIPHERAL_BUS_3</t>
  </si>
  <si>
    <t>MUL_65</t>
  </si>
  <si>
    <t>OSC_PERIPHERAL_BUS_4</t>
  </si>
  <si>
    <t>MUL_66</t>
  </si>
  <si>
    <t>OSC_PERIPHERAL_BUS_5</t>
  </si>
  <si>
    <t>MUL_67</t>
  </si>
  <si>
    <t>OSC_PERIPHERAL_BUS_7</t>
  </si>
  <si>
    <t>MUL_68</t>
  </si>
  <si>
    <t>OSC_PERIPHERAL_BUS_8</t>
  </si>
  <si>
    <t>MUL_69</t>
  </si>
  <si>
    <t>MUL_70</t>
  </si>
  <si>
    <t>MUL_71</t>
  </si>
  <si>
    <t>MUL_72</t>
  </si>
  <si>
    <t>MUL_73</t>
  </si>
  <si>
    <t>MUL_74</t>
  </si>
  <si>
    <t>PLLFrequencyRange</t>
  </si>
  <si>
    <t>MUL_75</t>
  </si>
  <si>
    <t>OSC_SYSPLL_FREQ_RANGE_BYPASS,</t>
  </si>
  <si>
    <t>MUL_76</t>
  </si>
  <si>
    <t>OSC_SYSPLL_FREQ_RANGE_5M_TO_10M</t>
  </si>
  <si>
    <t>MUL_77</t>
  </si>
  <si>
    <t>OSC_SYSPLL_FREQ_RANGE_8M_TO_16M</t>
  </si>
  <si>
    <t>MUL_78</t>
  </si>
  <si>
    <t>OSC_SYSPLL_FREQ_RANGE_13M_TO_26M</t>
  </si>
  <si>
    <t>MUL_79</t>
  </si>
  <si>
    <t>OSC_SYSPLL_FREQ_RANGE_21M_TO_42M</t>
  </si>
  <si>
    <t>MUL_80</t>
  </si>
  <si>
    <t>OSC_SYSPLL_FREQ_RANGE_34M_TO_68M</t>
  </si>
  <si>
    <t>MUL_81</t>
  </si>
  <si>
    <t>MUL_82</t>
  </si>
  <si>
    <t>MUL_83</t>
  </si>
  <si>
    <t>MUL_84</t>
  </si>
  <si>
    <t>MUL_85</t>
  </si>
  <si>
    <t>MUL_86</t>
  </si>
  <si>
    <t>MUL_87</t>
  </si>
  <si>
    <t>MUL_88</t>
  </si>
  <si>
    <t>MUL_89</t>
  </si>
  <si>
    <t>MUL_90</t>
  </si>
  <si>
    <t>MUL_91</t>
  </si>
  <si>
    <t>MUL_92</t>
  </si>
  <si>
    <t>MUL_93</t>
  </si>
  <si>
    <t>MUL_94</t>
  </si>
  <si>
    <t>MUL_95</t>
  </si>
  <si>
    <t>MUL_96</t>
  </si>
  <si>
    <t>MUL_97</t>
  </si>
  <si>
    <t>MUL_98</t>
  </si>
  <si>
    <t>MUL_99</t>
  </si>
  <si>
    <t>MUL_100</t>
  </si>
  <si>
    <t>MUL_101</t>
  </si>
  <si>
    <t>MUL_102</t>
  </si>
  <si>
    <t>MUL_103</t>
  </si>
  <si>
    <t>MUL_104</t>
  </si>
  <si>
    <t>MUL_105</t>
  </si>
  <si>
    <t>MUL_106</t>
  </si>
  <si>
    <t>MUL_107</t>
  </si>
  <si>
    <t>MUL_108</t>
  </si>
  <si>
    <t>MUL_109</t>
  </si>
  <si>
    <t>MUL_110</t>
  </si>
  <si>
    <t>MUL_111</t>
  </si>
  <si>
    <t>MUL_112</t>
  </si>
  <si>
    <t>MUL_113</t>
  </si>
  <si>
    <t>MUL_114</t>
  </si>
  <si>
    <t>MUL_115</t>
  </si>
  <si>
    <t>MUL_116</t>
  </si>
  <si>
    <t>OSC_REF_BASECLOCK_BFRC</t>
  </si>
  <si>
    <t>MUL_117</t>
  </si>
  <si>
    <t>MUL_118</t>
  </si>
  <si>
    <t>MUL_119</t>
  </si>
  <si>
    <t>MUL_120</t>
  </si>
  <si>
    <t>MUL_121</t>
  </si>
  <si>
    <t>MUL_122</t>
  </si>
  <si>
    <t>MUL_123</t>
  </si>
  <si>
    <t>MUL_124</t>
  </si>
  <si>
    <t>MUL_125</t>
  </si>
  <si>
    <t>MUL_126</t>
  </si>
  <si>
    <t>MUL_127</t>
  </si>
  <si>
    <t>MUL_128</t>
  </si>
  <si>
    <t>Oscillator specs per MZ data sheet:</t>
  </si>
  <si>
    <t>OS51</t>
  </si>
  <si>
    <t>FSYS</t>
  </si>
  <si>
    <t>System Frequency</t>
  </si>
  <si>
    <t>OS55a</t>
  </si>
  <si>
    <t>FPB</t>
  </si>
  <si>
    <t>For PBCLKx, ‘x’ not = 7</t>
  </si>
  <si>
    <t>Peripheral Bus Frequency</t>
  </si>
  <si>
    <t>OS55b</t>
  </si>
  <si>
    <t>For PBCLK7</t>
  </si>
  <si>
    <t>OS56</t>
  </si>
  <si>
    <t>FREF</t>
  </si>
  <si>
    <t>--</t>
  </si>
  <si>
    <t>Reference Clock Frequency</t>
  </si>
  <si>
    <t>OS54</t>
  </si>
  <si>
    <t>FVCO</t>
  </si>
  <si>
    <t>PLL VCO Frequency Range</t>
  </si>
  <si>
    <t>OS54a</t>
  </si>
  <si>
    <t>FPLL</t>
  </si>
  <si>
    <t>PLL Output Frequency Range</t>
  </si>
  <si>
    <t>F25</t>
  </si>
  <si>
    <t>Is USB being used?</t>
  </si>
  <si>
    <t>Is input freq not equal to 12 or 24 MHz?</t>
  </si>
  <si>
    <t>Is usb PLL configured for 24 MHz?</t>
  </si>
  <si>
    <t>Is usb PLL configured for 12 MHz?</t>
  </si>
  <si>
    <t>Is input to PLL outside of this range:?</t>
  </si>
  <si>
    <t>M19</t>
  </si>
  <si>
    <t>P19</t>
  </si>
  <si>
    <t>Is PLL multiplier output not between 350 and 700 MHz?</t>
  </si>
  <si>
    <t>U18</t>
  </si>
  <si>
    <t>Is PLL output not between 10 and 200 MHz?</t>
  </si>
  <si>
    <t>Is SYSCLK &gt;200?</t>
  </si>
  <si>
    <t>V28</t>
  </si>
  <si>
    <t>Is PBCLK1 &gt;100?</t>
  </si>
  <si>
    <t>V31</t>
  </si>
  <si>
    <t>Is PBCLK2 &gt;100?</t>
  </si>
  <si>
    <t>V34</t>
  </si>
  <si>
    <t>Is PBCLK3 &gt;100?</t>
  </si>
  <si>
    <t>V37</t>
  </si>
  <si>
    <t>Is PBCLK4 &gt;100?</t>
  </si>
  <si>
    <t>V40</t>
  </si>
  <si>
    <t>Is PBCLK5 &gt;100?</t>
  </si>
  <si>
    <t>V43</t>
  </si>
  <si>
    <t>Is PBCLK7 &gt;200?</t>
  </si>
  <si>
    <t>V46</t>
  </si>
  <si>
    <t>Is PBCLK8 &gt;100?</t>
  </si>
  <si>
    <t>Default PIC32MZ Oscillator Configuration Settings:</t>
  </si>
  <si>
    <t>Oscillator Selection Bits (Fast RC Osc w/Div-by-N (FRCDIV))</t>
  </si>
  <si>
    <t>Secondary Oscillator Enable (Enable SOSC)</t>
  </si>
  <si>
    <t>Primary Oscillator Configuration (Primary osc disabled)</t>
  </si>
  <si>
    <t>CLKO Output Signal Active on the OSCO Pin (Disabled)</t>
  </si>
  <si>
    <t>System PLL Output Clock Divider (32x Divider)</t>
  </si>
  <si>
    <t>System PLL Multiplier (PLL Multiply by 128)</t>
  </si>
  <si>
    <t>System PLL Input Clock Selection (FRC is input to the System PLL)</t>
  </si>
  <si>
    <t>System PLL Input Range (8-16 MHz Input)</t>
  </si>
  <si>
    <t>System PLL Input Divider (8x Divider)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</si>
</sst>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.00"/>
    <numFmt numFmtId="167" formatCode="0.000"/>
    <numFmt numFmtId="168" formatCode="0.0000"/>
    <numFmt numFmtId="169" formatCode="0.000000"/>
    <numFmt numFmtId="170" formatCode="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11"/>
      <color rgb="FFFFFFFF"/>
      <name val="Arial"/>
      <family val="2"/>
    </font>
    <font>
      <b val="true"/>
      <sz val="12"/>
      <color rgb="FF000000"/>
      <name val="Arial"/>
      <family val="2"/>
    </font>
    <font>
      <sz val="10"/>
      <color rgb="FF000000"/>
      <name val="Arial"/>
      <family val="2"/>
    </font>
    <font>
      <b val="true"/>
      <sz val="14"/>
      <color rgb="FF000000"/>
      <name val="Arial"/>
      <family val="2"/>
    </font>
    <font>
      <b val="true"/>
      <sz val="11"/>
      <color rgb="FF000000"/>
      <name val="Arial"/>
      <family val="2"/>
    </font>
    <font>
      <sz val="12"/>
      <color rgb="FF000000"/>
      <name val="Arial"/>
      <family val="2"/>
    </font>
    <font>
      <vertAlign val="subscript"/>
      <sz val="12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b val="true"/>
      <sz val="32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2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66"/>
        <bgColor rgb="FF99CC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1"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FF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FF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  <dxf>
      <font>
        <b val="true"/>
        <sz val="11"/>
        <color rgb="FFFFFFFF"/>
        <name val="Calibri"/>
        <family val="2"/>
        <charset val="1"/>
      </font>
      <fill>
        <patternFill>
          <bgColor rgb="FFC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251640</xdr:colOff>
      <xdr:row>24</xdr:row>
      <xdr:rowOff>159480</xdr:rowOff>
    </xdr:from>
    <xdr:to>
      <xdr:col>8</xdr:col>
      <xdr:colOff>255240</xdr:colOff>
      <xdr:row>24</xdr:row>
      <xdr:rowOff>163080</xdr:rowOff>
    </xdr:to>
    <xdr:sp>
      <xdr:nvSpPr>
        <xdr:cNvPr id="0" name="CustomShape 1"/>
        <xdr:cNvSpPr/>
      </xdr:nvSpPr>
      <xdr:spPr>
        <a:xfrm flipV="1">
          <a:off x="2257920" y="4552920"/>
          <a:ext cx="198684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106920</xdr:colOff>
      <xdr:row>24</xdr:row>
      <xdr:rowOff>87480</xdr:rowOff>
    </xdr:from>
    <xdr:to>
      <xdr:col>5</xdr:col>
      <xdr:colOff>251280</xdr:colOff>
      <xdr:row>25</xdr:row>
      <xdr:rowOff>64080</xdr:rowOff>
    </xdr:to>
    <xdr:sp>
      <xdr:nvSpPr>
        <xdr:cNvPr id="1" name="CustomShape 1"/>
        <xdr:cNvSpPr/>
      </xdr:nvSpPr>
      <xdr:spPr>
        <a:xfrm>
          <a:off x="2113200" y="4480920"/>
          <a:ext cx="144360" cy="1519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101160</xdr:colOff>
      <xdr:row>24</xdr:row>
      <xdr:rowOff>81720</xdr:rowOff>
    </xdr:from>
    <xdr:to>
      <xdr:col>5</xdr:col>
      <xdr:colOff>249840</xdr:colOff>
      <xdr:row>25</xdr:row>
      <xdr:rowOff>66240</xdr:rowOff>
    </xdr:to>
    <xdr:sp>
      <xdr:nvSpPr>
        <xdr:cNvPr id="2" name="Line 1"/>
        <xdr:cNvSpPr/>
      </xdr:nvSpPr>
      <xdr:spPr>
        <a:xfrm flipV="1">
          <a:off x="2107440" y="4475160"/>
          <a:ext cx="148680" cy="159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106920</xdr:colOff>
      <xdr:row>24</xdr:row>
      <xdr:rowOff>91080</xdr:rowOff>
    </xdr:from>
    <xdr:to>
      <xdr:col>5</xdr:col>
      <xdr:colOff>257400</xdr:colOff>
      <xdr:row>25</xdr:row>
      <xdr:rowOff>64080</xdr:rowOff>
    </xdr:to>
    <xdr:sp>
      <xdr:nvSpPr>
        <xdr:cNvPr id="3" name="Line 1"/>
        <xdr:cNvSpPr/>
      </xdr:nvSpPr>
      <xdr:spPr>
        <a:xfrm flipH="1" flipV="1">
          <a:off x="2113200" y="4484520"/>
          <a:ext cx="150480" cy="14832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109080</xdr:colOff>
      <xdr:row>29</xdr:row>
      <xdr:rowOff>96840</xdr:rowOff>
    </xdr:from>
    <xdr:to>
      <xdr:col>5</xdr:col>
      <xdr:colOff>253440</xdr:colOff>
      <xdr:row>30</xdr:row>
      <xdr:rowOff>66240</xdr:rowOff>
    </xdr:to>
    <xdr:sp>
      <xdr:nvSpPr>
        <xdr:cNvPr id="4" name="CustomShape 1"/>
        <xdr:cNvSpPr/>
      </xdr:nvSpPr>
      <xdr:spPr>
        <a:xfrm>
          <a:off x="2115360" y="536652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102960</xdr:colOff>
      <xdr:row>29</xdr:row>
      <xdr:rowOff>91440</xdr:rowOff>
    </xdr:from>
    <xdr:to>
      <xdr:col>5</xdr:col>
      <xdr:colOff>251640</xdr:colOff>
      <xdr:row>30</xdr:row>
      <xdr:rowOff>68400</xdr:rowOff>
    </xdr:to>
    <xdr:sp>
      <xdr:nvSpPr>
        <xdr:cNvPr id="5" name="Line 1"/>
        <xdr:cNvSpPr/>
      </xdr:nvSpPr>
      <xdr:spPr>
        <a:xfrm flipV="1">
          <a:off x="2109240" y="536112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108720</xdr:colOff>
      <xdr:row>29</xdr:row>
      <xdr:rowOff>100440</xdr:rowOff>
    </xdr:from>
    <xdr:to>
      <xdr:col>5</xdr:col>
      <xdr:colOff>259200</xdr:colOff>
      <xdr:row>30</xdr:row>
      <xdr:rowOff>66600</xdr:rowOff>
    </xdr:to>
    <xdr:sp>
      <xdr:nvSpPr>
        <xdr:cNvPr id="6" name="Line 1"/>
        <xdr:cNvSpPr/>
      </xdr:nvSpPr>
      <xdr:spPr>
        <a:xfrm flipH="1" flipV="1">
          <a:off x="2115000" y="537012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5</xdr:col>
      <xdr:colOff>253440</xdr:colOff>
      <xdr:row>29</xdr:row>
      <xdr:rowOff>169200</xdr:rowOff>
    </xdr:from>
    <xdr:to>
      <xdr:col>6</xdr:col>
      <xdr:colOff>377280</xdr:colOff>
      <xdr:row>29</xdr:row>
      <xdr:rowOff>169560</xdr:rowOff>
    </xdr:to>
    <xdr:sp>
      <xdr:nvSpPr>
        <xdr:cNvPr id="7" name="Line 1"/>
        <xdr:cNvSpPr/>
      </xdr:nvSpPr>
      <xdr:spPr>
        <a:xfrm flipH="1" flipV="1">
          <a:off x="2259720" y="5438880"/>
          <a:ext cx="727920" cy="3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28</xdr:row>
      <xdr:rowOff>76320</xdr:rowOff>
    </xdr:from>
    <xdr:to>
      <xdr:col>5</xdr:col>
      <xdr:colOff>516600</xdr:colOff>
      <xdr:row>29</xdr:row>
      <xdr:rowOff>169560</xdr:rowOff>
    </xdr:to>
    <xdr:sp>
      <xdr:nvSpPr>
        <xdr:cNvPr id="8" name="Line 1"/>
        <xdr:cNvSpPr/>
      </xdr:nvSpPr>
      <xdr:spPr>
        <a:xfrm>
          <a:off x="2517480" y="5170680"/>
          <a:ext cx="5400" cy="2685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26</xdr:row>
      <xdr:rowOff>74160</xdr:rowOff>
    </xdr:from>
    <xdr:to>
      <xdr:col>6</xdr:col>
      <xdr:colOff>2880</xdr:colOff>
      <xdr:row>26</xdr:row>
      <xdr:rowOff>106920</xdr:rowOff>
    </xdr:to>
    <xdr:sp>
      <xdr:nvSpPr>
        <xdr:cNvPr id="9" name="Line 1"/>
        <xdr:cNvSpPr/>
      </xdr:nvSpPr>
      <xdr:spPr>
        <a:xfrm>
          <a:off x="2517480" y="4818240"/>
          <a:ext cx="95760" cy="327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505800</xdr:colOff>
      <xdr:row>28</xdr:row>
      <xdr:rowOff>36000</xdr:rowOff>
    </xdr:from>
    <xdr:to>
      <xdr:col>5</xdr:col>
      <xdr:colOff>604440</xdr:colOff>
      <xdr:row>28</xdr:row>
      <xdr:rowOff>74520</xdr:rowOff>
    </xdr:to>
    <xdr:sp>
      <xdr:nvSpPr>
        <xdr:cNvPr id="10" name="Line 1"/>
        <xdr:cNvSpPr/>
      </xdr:nvSpPr>
      <xdr:spPr>
        <a:xfrm flipV="1">
          <a:off x="2512080" y="5130360"/>
          <a:ext cx="98640" cy="385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27</xdr:row>
      <xdr:rowOff>1440</xdr:rowOff>
    </xdr:from>
    <xdr:to>
      <xdr:col>6</xdr:col>
      <xdr:colOff>5760</xdr:colOff>
      <xdr:row>27</xdr:row>
      <xdr:rowOff>70920</xdr:rowOff>
    </xdr:to>
    <xdr:sp>
      <xdr:nvSpPr>
        <xdr:cNvPr id="11" name="Line 1"/>
        <xdr:cNvSpPr/>
      </xdr:nvSpPr>
      <xdr:spPr>
        <a:xfrm>
          <a:off x="2415960" y="492048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27</xdr:row>
      <xdr:rowOff>145800</xdr:rowOff>
    </xdr:from>
    <xdr:to>
      <xdr:col>6</xdr:col>
      <xdr:colOff>5760</xdr:colOff>
      <xdr:row>28</xdr:row>
      <xdr:rowOff>39600</xdr:rowOff>
    </xdr:to>
    <xdr:sp>
      <xdr:nvSpPr>
        <xdr:cNvPr id="12" name="Line 1"/>
        <xdr:cNvSpPr/>
      </xdr:nvSpPr>
      <xdr:spPr>
        <a:xfrm>
          <a:off x="2415960" y="5064840"/>
          <a:ext cx="20016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415080</xdr:colOff>
      <xdr:row>26</xdr:row>
      <xdr:rowOff>105120</xdr:rowOff>
    </xdr:from>
    <xdr:to>
      <xdr:col>5</xdr:col>
      <xdr:colOff>604440</xdr:colOff>
      <xdr:row>26</xdr:row>
      <xdr:rowOff>174600</xdr:rowOff>
    </xdr:to>
    <xdr:sp>
      <xdr:nvSpPr>
        <xdr:cNvPr id="13" name="Line 1"/>
        <xdr:cNvSpPr/>
      </xdr:nvSpPr>
      <xdr:spPr>
        <a:xfrm flipV="1">
          <a:off x="2421360" y="4849200"/>
          <a:ext cx="1893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420840</xdr:colOff>
      <xdr:row>27</xdr:row>
      <xdr:rowOff>72720</xdr:rowOff>
    </xdr:from>
    <xdr:to>
      <xdr:col>6</xdr:col>
      <xdr:colOff>5760</xdr:colOff>
      <xdr:row>27</xdr:row>
      <xdr:rowOff>141840</xdr:rowOff>
    </xdr:to>
    <xdr:sp>
      <xdr:nvSpPr>
        <xdr:cNvPr id="14" name="Line 1"/>
        <xdr:cNvSpPr/>
      </xdr:nvSpPr>
      <xdr:spPr>
        <a:xfrm flipV="1">
          <a:off x="2427120" y="4991760"/>
          <a:ext cx="18900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508320</xdr:colOff>
      <xdr:row>24</xdr:row>
      <xdr:rowOff>159840</xdr:rowOff>
    </xdr:from>
    <xdr:to>
      <xdr:col>5</xdr:col>
      <xdr:colOff>511200</xdr:colOff>
      <xdr:row>26</xdr:row>
      <xdr:rowOff>74160</xdr:rowOff>
    </xdr:to>
    <xdr:sp>
      <xdr:nvSpPr>
        <xdr:cNvPr id="15" name="Line 1"/>
        <xdr:cNvSpPr/>
      </xdr:nvSpPr>
      <xdr:spPr>
        <a:xfrm>
          <a:off x="2514600" y="4553280"/>
          <a:ext cx="2880" cy="2649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367920</xdr:colOff>
      <xdr:row>24</xdr:row>
      <xdr:rowOff>167040</xdr:rowOff>
    </xdr:from>
    <xdr:to>
      <xdr:col>6</xdr:col>
      <xdr:colOff>367920</xdr:colOff>
      <xdr:row>29</xdr:row>
      <xdr:rowOff>175320</xdr:rowOff>
    </xdr:to>
    <xdr:sp>
      <xdr:nvSpPr>
        <xdr:cNvPr id="16" name="Line 1"/>
        <xdr:cNvSpPr/>
      </xdr:nvSpPr>
      <xdr:spPr>
        <a:xfrm flipV="1">
          <a:off x="2978280" y="4560480"/>
          <a:ext cx="0" cy="8845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569880</xdr:colOff>
      <xdr:row>28</xdr:row>
      <xdr:rowOff>60120</xdr:rowOff>
    </xdr:from>
    <xdr:to>
      <xdr:col>7</xdr:col>
      <xdr:colOff>354240</xdr:colOff>
      <xdr:row>30</xdr:row>
      <xdr:rowOff>52560</xdr:rowOff>
    </xdr:to>
    <xdr:sp>
      <xdr:nvSpPr>
        <xdr:cNvPr id="17" name="CustomShape 1"/>
        <xdr:cNvSpPr/>
      </xdr:nvSpPr>
      <xdr:spPr>
        <a:xfrm rot="10800000">
          <a:off x="3180240" y="5154480"/>
          <a:ext cx="403560" cy="343080"/>
        </a:xfrm>
        <a:prstGeom prst="triangle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347400</xdr:colOff>
      <xdr:row>28</xdr:row>
      <xdr:rowOff>58320</xdr:rowOff>
    </xdr:from>
    <xdr:to>
      <xdr:col>6</xdr:col>
      <xdr:colOff>392040</xdr:colOff>
      <xdr:row>28</xdr:row>
      <xdr:rowOff>101880</xdr:rowOff>
    </xdr:to>
    <xdr:sp>
      <xdr:nvSpPr>
        <xdr:cNvPr id="18" name="CustomShape 1"/>
        <xdr:cNvSpPr/>
      </xdr:nvSpPr>
      <xdr:spPr>
        <a:xfrm>
          <a:off x="2957760" y="5152680"/>
          <a:ext cx="44640" cy="435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468360</xdr:colOff>
      <xdr:row>27</xdr:row>
      <xdr:rowOff>63000</xdr:rowOff>
    </xdr:from>
    <xdr:to>
      <xdr:col>7</xdr:col>
      <xdr:colOff>290880</xdr:colOff>
      <xdr:row>27</xdr:row>
      <xdr:rowOff>63360</xdr:rowOff>
    </xdr:to>
    <xdr:sp>
      <xdr:nvSpPr>
        <xdr:cNvPr id="19" name="CustomShape 1"/>
        <xdr:cNvSpPr/>
      </xdr:nvSpPr>
      <xdr:spPr>
        <a:xfrm flipH="1">
          <a:off x="3078720" y="4982040"/>
          <a:ext cx="4417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385200</xdr:colOff>
      <xdr:row>17</xdr:row>
      <xdr:rowOff>88200</xdr:rowOff>
    </xdr:from>
    <xdr:to>
      <xdr:col>17</xdr:col>
      <xdr:colOff>430560</xdr:colOff>
      <xdr:row>19</xdr:row>
      <xdr:rowOff>102960</xdr:rowOff>
    </xdr:to>
    <xdr:sp>
      <xdr:nvSpPr>
        <xdr:cNvPr id="20" name="CustomShape 1"/>
        <xdr:cNvSpPr/>
      </xdr:nvSpPr>
      <xdr:spPr>
        <a:xfrm>
          <a:off x="9405720" y="3250440"/>
          <a:ext cx="80568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Output Divider</a:t>
          </a:r>
          <a:endParaRPr/>
        </a:p>
      </xdr:txBody>
    </xdr:sp>
    <xdr:clientData/>
  </xdr:twoCellAnchor>
  <xdr:twoCellAnchor editAs="oneCell">
    <xdr:from>
      <xdr:col>7</xdr:col>
      <xdr:colOff>423360</xdr:colOff>
      <xdr:row>17</xdr:row>
      <xdr:rowOff>90000</xdr:rowOff>
    </xdr:from>
    <xdr:to>
      <xdr:col>8</xdr:col>
      <xdr:colOff>369720</xdr:colOff>
      <xdr:row>19</xdr:row>
      <xdr:rowOff>104760</xdr:rowOff>
    </xdr:to>
    <xdr:sp>
      <xdr:nvSpPr>
        <xdr:cNvPr id="21" name="CustomShape 1"/>
        <xdr:cNvSpPr/>
      </xdr:nvSpPr>
      <xdr:spPr>
        <a:xfrm>
          <a:off x="3652920" y="3252240"/>
          <a:ext cx="7063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Input Selection</a:t>
          </a:r>
          <a:endParaRPr/>
        </a:p>
      </xdr:txBody>
    </xdr:sp>
    <xdr:clientData/>
  </xdr:twoCellAnchor>
  <xdr:twoCellAnchor editAs="oneCell">
    <xdr:from>
      <xdr:col>10</xdr:col>
      <xdr:colOff>425160</xdr:colOff>
      <xdr:row>17</xdr:row>
      <xdr:rowOff>88200</xdr:rowOff>
    </xdr:from>
    <xdr:to>
      <xdr:col>11</xdr:col>
      <xdr:colOff>371520</xdr:colOff>
      <xdr:row>19</xdr:row>
      <xdr:rowOff>102960</xdr:rowOff>
    </xdr:to>
    <xdr:sp>
      <xdr:nvSpPr>
        <xdr:cNvPr id="22" name="CustomShape 1"/>
        <xdr:cNvSpPr/>
      </xdr:nvSpPr>
      <xdr:spPr>
        <a:xfrm>
          <a:off x="5825160" y="3250440"/>
          <a:ext cx="7063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Input Divider</a:t>
          </a:r>
          <a:endParaRPr/>
        </a:p>
      </xdr:txBody>
    </xdr:sp>
    <xdr:clientData/>
  </xdr:twoCellAnchor>
  <xdr:twoCellAnchor editAs="oneCell">
    <xdr:from>
      <xdr:col>13</xdr:col>
      <xdr:colOff>419400</xdr:colOff>
      <xdr:row>17</xdr:row>
      <xdr:rowOff>88200</xdr:rowOff>
    </xdr:from>
    <xdr:to>
      <xdr:col>14</xdr:col>
      <xdr:colOff>365760</xdr:colOff>
      <xdr:row>19</xdr:row>
      <xdr:rowOff>102960</xdr:rowOff>
    </xdr:to>
    <xdr:sp>
      <xdr:nvSpPr>
        <xdr:cNvPr id="23" name="CustomShape 1"/>
        <xdr:cNvSpPr/>
      </xdr:nvSpPr>
      <xdr:spPr>
        <a:xfrm>
          <a:off x="7590240" y="3250440"/>
          <a:ext cx="7063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Multiplier</a:t>
          </a:r>
          <a:endParaRPr/>
        </a:p>
      </xdr:txBody>
    </xdr:sp>
    <xdr:clientData/>
  </xdr:twoCellAnchor>
  <xdr:twoCellAnchor editAs="oneCell">
    <xdr:from>
      <xdr:col>7</xdr:col>
      <xdr:colOff>291960</xdr:colOff>
      <xdr:row>26</xdr:row>
      <xdr:rowOff>55080</xdr:rowOff>
    </xdr:from>
    <xdr:to>
      <xdr:col>8</xdr:col>
      <xdr:colOff>26640</xdr:colOff>
      <xdr:row>28</xdr:row>
      <xdr:rowOff>70200</xdr:rowOff>
    </xdr:to>
    <xdr:sp>
      <xdr:nvSpPr>
        <xdr:cNvPr id="24" name="CustomShape 1"/>
        <xdr:cNvSpPr/>
      </xdr:nvSpPr>
      <xdr:spPr>
        <a:xfrm>
          <a:off x="3521520" y="4799160"/>
          <a:ext cx="49464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POSC Enable</a:t>
          </a:r>
          <a:endParaRPr/>
        </a:p>
      </xdr:txBody>
    </xdr:sp>
    <xdr:clientData/>
  </xdr:twoCellAnchor>
  <xdr:twoCellAnchor editAs="oneCell">
    <xdr:from>
      <xdr:col>8</xdr:col>
      <xdr:colOff>370080</xdr:colOff>
      <xdr:row>18</xdr:row>
      <xdr:rowOff>95760</xdr:rowOff>
    </xdr:from>
    <xdr:to>
      <xdr:col>10</xdr:col>
      <xdr:colOff>424800</xdr:colOff>
      <xdr:row>18</xdr:row>
      <xdr:rowOff>97200</xdr:rowOff>
    </xdr:to>
    <xdr:sp>
      <xdr:nvSpPr>
        <xdr:cNvPr id="25" name="CustomShape 1"/>
        <xdr:cNvSpPr/>
      </xdr:nvSpPr>
      <xdr:spPr>
        <a:xfrm flipV="1">
          <a:off x="4359600" y="3433320"/>
          <a:ext cx="146520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371880</xdr:colOff>
      <xdr:row>18</xdr:row>
      <xdr:rowOff>95760</xdr:rowOff>
    </xdr:from>
    <xdr:to>
      <xdr:col>13</xdr:col>
      <xdr:colOff>419040</xdr:colOff>
      <xdr:row>18</xdr:row>
      <xdr:rowOff>96120</xdr:rowOff>
    </xdr:to>
    <xdr:sp>
      <xdr:nvSpPr>
        <xdr:cNvPr id="26" name="CustomShape 1"/>
        <xdr:cNvSpPr/>
      </xdr:nvSpPr>
      <xdr:spPr>
        <a:xfrm>
          <a:off x="6531840" y="3433320"/>
          <a:ext cx="10580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366120</xdr:colOff>
      <xdr:row>18</xdr:row>
      <xdr:rowOff>95760</xdr:rowOff>
    </xdr:from>
    <xdr:to>
      <xdr:col>16</xdr:col>
      <xdr:colOff>384840</xdr:colOff>
      <xdr:row>18</xdr:row>
      <xdr:rowOff>96120</xdr:rowOff>
    </xdr:to>
    <xdr:sp>
      <xdr:nvSpPr>
        <xdr:cNvPr id="27" name="CustomShape 1"/>
        <xdr:cNvSpPr/>
      </xdr:nvSpPr>
      <xdr:spPr>
        <a:xfrm>
          <a:off x="8296920" y="3433320"/>
          <a:ext cx="11084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430920</xdr:colOff>
      <xdr:row>18</xdr:row>
      <xdr:rowOff>85680</xdr:rowOff>
    </xdr:from>
    <xdr:to>
      <xdr:col>19</xdr:col>
      <xdr:colOff>145080</xdr:colOff>
      <xdr:row>18</xdr:row>
      <xdr:rowOff>94680</xdr:rowOff>
    </xdr:to>
    <xdr:sp>
      <xdr:nvSpPr>
        <xdr:cNvPr id="28" name="CustomShape 1"/>
        <xdr:cNvSpPr/>
      </xdr:nvSpPr>
      <xdr:spPr>
        <a:xfrm flipV="1">
          <a:off x="10211760" y="3423240"/>
          <a:ext cx="693720" cy="90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27000</xdr:colOff>
      <xdr:row>17</xdr:row>
      <xdr:rowOff>151200</xdr:rowOff>
    </xdr:from>
    <xdr:to>
      <xdr:col>7</xdr:col>
      <xdr:colOff>415440</xdr:colOff>
      <xdr:row>17</xdr:row>
      <xdr:rowOff>158400</xdr:rowOff>
    </xdr:to>
    <xdr:sp>
      <xdr:nvSpPr>
        <xdr:cNvPr id="29" name="CustomShape 1"/>
        <xdr:cNvSpPr/>
      </xdr:nvSpPr>
      <xdr:spPr>
        <a:xfrm flipV="1">
          <a:off x="2637360" y="3313440"/>
          <a:ext cx="100764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34560</xdr:colOff>
      <xdr:row>9</xdr:row>
      <xdr:rowOff>158760</xdr:rowOff>
    </xdr:from>
    <xdr:to>
      <xdr:col>5</xdr:col>
      <xdr:colOff>331560</xdr:colOff>
      <xdr:row>13</xdr:row>
      <xdr:rowOff>6120</xdr:rowOff>
    </xdr:to>
    <xdr:sp>
      <xdr:nvSpPr>
        <xdr:cNvPr id="30" name="CustomShape 1"/>
        <xdr:cNvSpPr/>
      </xdr:nvSpPr>
      <xdr:spPr>
        <a:xfrm>
          <a:off x="1633320" y="1918800"/>
          <a:ext cx="704520" cy="54828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FRC Oscillator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8 MHz</a:t>
          </a:r>
          <a:endParaRPr/>
        </a:p>
      </xdr:txBody>
    </xdr:sp>
    <xdr:clientData/>
  </xdr:twoCellAnchor>
  <xdr:twoCellAnchor editAs="oneCell">
    <xdr:from>
      <xdr:col>4</xdr:col>
      <xdr:colOff>34560</xdr:colOff>
      <xdr:row>26</xdr:row>
      <xdr:rowOff>62640</xdr:rowOff>
    </xdr:from>
    <xdr:to>
      <xdr:col>5</xdr:col>
      <xdr:colOff>300960</xdr:colOff>
      <xdr:row>28</xdr:row>
      <xdr:rowOff>85680</xdr:rowOff>
    </xdr:to>
    <xdr:sp>
      <xdr:nvSpPr>
        <xdr:cNvPr id="31" name="CustomShape 1"/>
        <xdr:cNvSpPr/>
      </xdr:nvSpPr>
      <xdr:spPr>
        <a:xfrm>
          <a:off x="1633320" y="4806720"/>
          <a:ext cx="673920" cy="3733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POSC Oscillator</a:t>
          </a:r>
          <a:endParaRPr/>
        </a:p>
      </xdr:txBody>
    </xdr:sp>
    <xdr:clientData/>
  </xdr:twoCellAnchor>
  <xdr:twoCellAnchor editAs="oneCell">
    <xdr:from>
      <xdr:col>6</xdr:col>
      <xdr:colOff>2160</xdr:colOff>
      <xdr:row>11</xdr:row>
      <xdr:rowOff>74880</xdr:rowOff>
    </xdr:from>
    <xdr:to>
      <xdr:col>6</xdr:col>
      <xdr:colOff>5760</xdr:colOff>
      <xdr:row>17</xdr:row>
      <xdr:rowOff>165960</xdr:rowOff>
    </xdr:to>
    <xdr:sp>
      <xdr:nvSpPr>
        <xdr:cNvPr id="32" name="CustomShape 1"/>
        <xdr:cNvSpPr/>
      </xdr:nvSpPr>
      <xdr:spPr>
        <a:xfrm flipH="1">
          <a:off x="2612520" y="2185560"/>
          <a:ext cx="3600" cy="11426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545040</xdr:colOff>
      <xdr:row>15</xdr:row>
      <xdr:rowOff>90000</xdr:rowOff>
    </xdr:from>
    <xdr:to>
      <xdr:col>18</xdr:col>
      <xdr:colOff>140760</xdr:colOff>
      <xdr:row>22</xdr:row>
      <xdr:rowOff>100440</xdr:rowOff>
    </xdr:to>
    <xdr:sp>
      <xdr:nvSpPr>
        <xdr:cNvPr id="33" name="CustomShape 1"/>
        <xdr:cNvSpPr/>
      </xdr:nvSpPr>
      <xdr:spPr>
        <a:xfrm>
          <a:off x="3155400" y="2901600"/>
          <a:ext cx="7338240" cy="1241640"/>
        </a:xfrm>
        <a:prstGeom prst="roundRect">
          <a:avLst>
            <a:gd name="adj" fmla="val 13069"/>
          </a:avLst>
        </a:prstGeom>
        <a:noFill/>
        <a:ln>
          <a:solidFill>
            <a:schemeClr val="tx1"/>
          </a:solidFill>
          <a:custDash>
            <a:ds d="100000" sp="100000"/>
          </a:custDash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42120</xdr:colOff>
      <xdr:row>18</xdr:row>
      <xdr:rowOff>158760</xdr:rowOff>
    </xdr:from>
    <xdr:to>
      <xdr:col>7</xdr:col>
      <xdr:colOff>42480</xdr:colOff>
      <xdr:row>25</xdr:row>
      <xdr:rowOff>1440</xdr:rowOff>
    </xdr:to>
    <xdr:sp>
      <xdr:nvSpPr>
        <xdr:cNvPr id="34" name="CustomShape 1"/>
        <xdr:cNvSpPr/>
      </xdr:nvSpPr>
      <xdr:spPr>
        <a:xfrm>
          <a:off x="3271680" y="3496320"/>
          <a:ext cx="360" cy="107388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34560</xdr:colOff>
      <xdr:row>18</xdr:row>
      <xdr:rowOff>151200</xdr:rowOff>
    </xdr:from>
    <xdr:to>
      <xdr:col>7</xdr:col>
      <xdr:colOff>415080</xdr:colOff>
      <xdr:row>18</xdr:row>
      <xdr:rowOff>158400</xdr:rowOff>
    </xdr:to>
    <xdr:sp>
      <xdr:nvSpPr>
        <xdr:cNvPr id="35" name="CustomShape 1"/>
        <xdr:cNvSpPr/>
      </xdr:nvSpPr>
      <xdr:spPr>
        <a:xfrm flipV="1">
          <a:off x="3264120" y="3488760"/>
          <a:ext cx="38052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696240</xdr:colOff>
      <xdr:row>20</xdr:row>
      <xdr:rowOff>115920</xdr:rowOff>
    </xdr:from>
    <xdr:to>
      <xdr:col>10</xdr:col>
      <xdr:colOff>338760</xdr:colOff>
      <xdr:row>22</xdr:row>
      <xdr:rowOff>26280</xdr:rowOff>
    </xdr:to>
    <xdr:sp>
      <xdr:nvSpPr>
        <xdr:cNvPr id="36" name="CustomShape 1"/>
        <xdr:cNvSpPr/>
      </xdr:nvSpPr>
      <xdr:spPr>
        <a:xfrm>
          <a:off x="4685760" y="3808440"/>
          <a:ext cx="10530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System PLL</a:t>
          </a:r>
          <a:endParaRPr/>
        </a:p>
      </xdr:txBody>
    </xdr:sp>
    <xdr:clientData/>
  </xdr:twoCellAnchor>
  <xdr:twoCellAnchor editAs="oneCell">
    <xdr:from>
      <xdr:col>3</xdr:col>
      <xdr:colOff>339480</xdr:colOff>
      <xdr:row>56</xdr:row>
      <xdr:rowOff>24840</xdr:rowOff>
    </xdr:from>
    <xdr:to>
      <xdr:col>8</xdr:col>
      <xdr:colOff>57960</xdr:colOff>
      <xdr:row>60</xdr:row>
      <xdr:rowOff>24480</xdr:rowOff>
    </xdr:to>
    <xdr:sp>
      <xdr:nvSpPr>
        <xdr:cNvPr id="37" name="CustomShape 1"/>
        <xdr:cNvSpPr/>
      </xdr:nvSpPr>
      <xdr:spPr>
        <a:xfrm>
          <a:off x="1350360" y="10049400"/>
          <a:ext cx="2697120" cy="7005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Device configuration settings per highlighted selections above </a:t>
          </a:r>
          <a:r>
            <a:rPr lang="de-DE" sz="1000" strike="noStrike">
              <a:solidFill>
                <a:srgbClr val="000000"/>
              </a:solidFill>
              <a:latin typeface="Arial"/>
            </a:rPr>
            <a:t>(configured at program time)</a:t>
          </a:r>
          <a:endParaRPr/>
        </a:p>
      </xdr:txBody>
    </xdr:sp>
    <xdr:clientData/>
  </xdr:twoCellAnchor>
  <xdr:twoCellAnchor editAs="oneCell">
    <xdr:from>
      <xdr:col>14</xdr:col>
      <xdr:colOff>270720</xdr:colOff>
      <xdr:row>83</xdr:row>
      <xdr:rowOff>65880</xdr:rowOff>
    </xdr:from>
    <xdr:to>
      <xdr:col>21</xdr:col>
      <xdr:colOff>476640</xdr:colOff>
      <xdr:row>86</xdr:row>
      <xdr:rowOff>12240</xdr:rowOff>
    </xdr:to>
    <xdr:sp>
      <xdr:nvSpPr>
        <xdr:cNvPr id="38" name="CustomShape 1"/>
        <xdr:cNvSpPr/>
      </xdr:nvSpPr>
      <xdr:spPr>
        <a:xfrm>
          <a:off x="8201520" y="14826960"/>
          <a:ext cx="4023000" cy="479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Harmony functions to configure clocks at run time</a:t>
          </a:r>
          <a:endParaRPr/>
        </a:p>
        <a:p>
          <a:pPr algn="ctr">
            <a:lnSpc>
              <a:spcPct val="100000"/>
            </a:lnSpc>
          </a:pPr>
          <a:r>
            <a:rPr lang="de-DE" sz="1000" strike="noStrike">
              <a:solidFill>
                <a:srgbClr val="000000"/>
              </a:solidFill>
              <a:latin typeface="Arial"/>
            </a:rPr>
            <a:t>(for reference only...not controlled by selections above)</a:t>
          </a:r>
          <a:endParaRPr/>
        </a:p>
      </xdr:txBody>
    </xdr:sp>
    <xdr:clientData/>
  </xdr:twoCellAnchor>
  <xdr:twoCellAnchor editAs="oneCell">
    <xdr:from>
      <xdr:col>7</xdr:col>
      <xdr:colOff>509040</xdr:colOff>
      <xdr:row>10</xdr:row>
      <xdr:rowOff>143280</xdr:rowOff>
    </xdr:from>
    <xdr:to>
      <xdr:col>8</xdr:col>
      <xdr:colOff>300960</xdr:colOff>
      <xdr:row>12</xdr:row>
      <xdr:rowOff>20880</xdr:rowOff>
    </xdr:to>
    <xdr:sp>
      <xdr:nvSpPr>
        <xdr:cNvPr id="39" name="CustomShape 1"/>
        <xdr:cNvSpPr/>
      </xdr:nvSpPr>
      <xdr:spPr>
        <a:xfrm>
          <a:off x="3738600" y="2078640"/>
          <a:ext cx="551880" cy="2282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5</xdr:col>
      <xdr:colOff>331920</xdr:colOff>
      <xdr:row>11</xdr:row>
      <xdr:rowOff>78480</xdr:rowOff>
    </xdr:from>
    <xdr:to>
      <xdr:col>7</xdr:col>
      <xdr:colOff>508680</xdr:colOff>
      <xdr:row>11</xdr:row>
      <xdr:rowOff>78840</xdr:rowOff>
    </xdr:to>
    <xdr:sp>
      <xdr:nvSpPr>
        <xdr:cNvPr id="40" name="CustomShape 1"/>
        <xdr:cNvSpPr/>
      </xdr:nvSpPr>
      <xdr:spPr>
        <a:xfrm>
          <a:off x="2338200" y="2189160"/>
          <a:ext cx="14000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301320</xdr:colOff>
      <xdr:row>11</xdr:row>
      <xdr:rowOff>78480</xdr:rowOff>
    </xdr:from>
    <xdr:to>
      <xdr:col>9</xdr:col>
      <xdr:colOff>64800</xdr:colOff>
      <xdr:row>11</xdr:row>
      <xdr:rowOff>79560</xdr:rowOff>
    </xdr:to>
    <xdr:sp>
      <xdr:nvSpPr>
        <xdr:cNvPr id="41" name="CustomShape 1"/>
        <xdr:cNvSpPr/>
      </xdr:nvSpPr>
      <xdr:spPr>
        <a:xfrm>
          <a:off x="4290840" y="2189160"/>
          <a:ext cx="52344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118440</xdr:colOff>
      <xdr:row>6</xdr:row>
      <xdr:rowOff>90000</xdr:rowOff>
    </xdr:from>
    <xdr:to>
      <xdr:col>5</xdr:col>
      <xdr:colOff>253440</xdr:colOff>
      <xdr:row>8</xdr:row>
      <xdr:rowOff>104760</xdr:rowOff>
    </xdr:to>
    <xdr:sp>
      <xdr:nvSpPr>
        <xdr:cNvPr id="42" name="CustomShape 1"/>
        <xdr:cNvSpPr/>
      </xdr:nvSpPr>
      <xdr:spPr>
        <a:xfrm>
          <a:off x="1717200" y="1324440"/>
          <a:ext cx="5425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FRC Tune</a:t>
          </a:r>
          <a:endParaRPr/>
        </a:p>
      </xdr:txBody>
    </xdr:sp>
    <xdr:clientData/>
  </xdr:twoCellAnchor>
  <xdr:twoCellAnchor editAs="oneCell">
    <xdr:from>
      <xdr:col>4</xdr:col>
      <xdr:colOff>380520</xdr:colOff>
      <xdr:row>8</xdr:row>
      <xdr:rowOff>105480</xdr:rowOff>
    </xdr:from>
    <xdr:to>
      <xdr:col>4</xdr:col>
      <xdr:colOff>383040</xdr:colOff>
      <xdr:row>9</xdr:row>
      <xdr:rowOff>158400</xdr:rowOff>
    </xdr:to>
    <xdr:sp>
      <xdr:nvSpPr>
        <xdr:cNvPr id="43" name="CustomShape 1"/>
        <xdr:cNvSpPr/>
      </xdr:nvSpPr>
      <xdr:spPr>
        <a:xfrm flipH="1">
          <a:off x="1979280" y="1690200"/>
          <a:ext cx="2520" cy="2282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225000</xdr:colOff>
      <xdr:row>9</xdr:row>
      <xdr:rowOff>113040</xdr:rowOff>
    </xdr:from>
    <xdr:to>
      <xdr:col>3</xdr:col>
      <xdr:colOff>433800</xdr:colOff>
      <xdr:row>13</xdr:row>
      <xdr:rowOff>51840</xdr:rowOff>
    </xdr:to>
    <xdr:sp>
      <xdr:nvSpPr>
        <xdr:cNvPr id="44" name="CustomShape 1"/>
        <xdr:cNvSpPr/>
      </xdr:nvSpPr>
      <xdr:spPr>
        <a:xfrm>
          <a:off x="553680" y="1873080"/>
          <a:ext cx="89100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Internal Fast RC Oscillator</a:t>
          </a:r>
          <a:endParaRPr/>
        </a:p>
      </xdr:txBody>
    </xdr:sp>
    <xdr:clientData/>
  </xdr:twoCellAnchor>
  <xdr:twoCellAnchor editAs="oneCell">
    <xdr:from>
      <xdr:col>1</xdr:col>
      <xdr:colOff>225000</xdr:colOff>
      <xdr:row>25</xdr:row>
      <xdr:rowOff>100800</xdr:rowOff>
    </xdr:from>
    <xdr:to>
      <xdr:col>3</xdr:col>
      <xdr:colOff>433800</xdr:colOff>
      <xdr:row>29</xdr:row>
      <xdr:rowOff>39600</xdr:rowOff>
    </xdr:to>
    <xdr:sp>
      <xdr:nvSpPr>
        <xdr:cNvPr id="45" name="CustomShape 1"/>
        <xdr:cNvSpPr/>
      </xdr:nvSpPr>
      <xdr:spPr>
        <a:xfrm>
          <a:off x="553680" y="4669560"/>
          <a:ext cx="89100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External Primany Oscillator</a:t>
          </a:r>
          <a:endParaRPr/>
        </a:p>
      </xdr:txBody>
    </xdr:sp>
    <xdr:clientData/>
  </xdr:twoCellAnchor>
  <xdr:twoCellAnchor editAs="oneCell">
    <xdr:from>
      <xdr:col>8</xdr:col>
      <xdr:colOff>259200</xdr:colOff>
      <xdr:row>24</xdr:row>
      <xdr:rowOff>24840</xdr:rowOff>
    </xdr:from>
    <xdr:to>
      <xdr:col>9</xdr:col>
      <xdr:colOff>111960</xdr:colOff>
      <xdr:row>25</xdr:row>
      <xdr:rowOff>110160</xdr:rowOff>
    </xdr:to>
    <xdr:sp>
      <xdr:nvSpPr>
        <xdr:cNvPr id="46" name="CustomShape 1"/>
        <xdr:cNvSpPr/>
      </xdr:nvSpPr>
      <xdr:spPr>
        <a:xfrm>
          <a:off x="4248720" y="441828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9</xdr:col>
      <xdr:colOff>70560</xdr:colOff>
      <xdr:row>10</xdr:row>
      <xdr:rowOff>128160</xdr:rowOff>
    </xdr:from>
    <xdr:to>
      <xdr:col>10</xdr:col>
      <xdr:colOff>299160</xdr:colOff>
      <xdr:row>12</xdr:row>
      <xdr:rowOff>38160</xdr:rowOff>
    </xdr:to>
    <xdr:sp>
      <xdr:nvSpPr>
        <xdr:cNvPr id="47" name="CustomShape 1"/>
        <xdr:cNvSpPr/>
      </xdr:nvSpPr>
      <xdr:spPr>
        <a:xfrm>
          <a:off x="4820040" y="2063520"/>
          <a:ext cx="8791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FRCDIV =</a:t>
          </a:r>
          <a:endParaRPr/>
        </a:p>
      </xdr:txBody>
    </xdr:sp>
    <xdr:clientData/>
  </xdr:twoCellAnchor>
  <xdr:twoCellAnchor editAs="oneCell">
    <xdr:from>
      <xdr:col>18</xdr:col>
      <xdr:colOff>352800</xdr:colOff>
      <xdr:row>17</xdr:row>
      <xdr:rowOff>135720</xdr:rowOff>
    </xdr:from>
    <xdr:to>
      <xdr:col>20</xdr:col>
      <xdr:colOff>227880</xdr:colOff>
      <xdr:row>22</xdr:row>
      <xdr:rowOff>26640</xdr:rowOff>
    </xdr:to>
    <xdr:sp>
      <xdr:nvSpPr>
        <xdr:cNvPr id="48" name="CustomShape 1"/>
        <xdr:cNvSpPr/>
      </xdr:nvSpPr>
      <xdr:spPr>
        <a:xfrm>
          <a:off x="10705680" y="3297960"/>
          <a:ext cx="792000" cy="771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XTPLL =</a:t>
          </a:r>
          <a:endParaRPr/>
        </a:p>
        <a:p>
          <a:r>
            <a:rPr b="1" lang="de-DE" sz="1200" strike="noStrike">
              <a:solidFill>
                <a:srgbClr val="000000"/>
              </a:solidFill>
              <a:latin typeface="Arial"/>
            </a:rPr>
            <a:t>HSPLL</a:t>
          </a:r>
          <a:endParaRPr/>
        </a:p>
        <a:p>
          <a:r>
            <a:rPr b="1" lang="de-DE" sz="1200" strike="noStrike">
              <a:solidFill>
                <a:srgbClr val="000000"/>
              </a:solidFill>
              <a:latin typeface="Arial"/>
            </a:rPr>
            <a:t>ECPLL</a:t>
          </a:r>
          <a:endParaRPr/>
        </a:p>
        <a:p>
          <a:r>
            <a:rPr b="1" lang="de-DE" sz="1200" strike="noStrike">
              <a:solidFill>
                <a:srgbClr val="000000"/>
              </a:solidFill>
              <a:latin typeface="Arial"/>
            </a:rPr>
            <a:t>FRCPLL</a:t>
          </a:r>
          <a:endParaRPr/>
        </a:p>
      </xdr:txBody>
    </xdr:sp>
    <xdr:clientData/>
  </xdr:twoCellAnchor>
  <xdr:twoCellAnchor editAs="oneCell">
    <xdr:from>
      <xdr:col>13</xdr:col>
      <xdr:colOff>308880</xdr:colOff>
      <xdr:row>30</xdr:row>
      <xdr:rowOff>83880</xdr:rowOff>
    </xdr:from>
    <xdr:to>
      <xdr:col>14</xdr:col>
      <xdr:colOff>255240</xdr:colOff>
      <xdr:row>32</xdr:row>
      <xdr:rowOff>98280</xdr:rowOff>
    </xdr:to>
    <xdr:sp>
      <xdr:nvSpPr>
        <xdr:cNvPr id="49" name="CustomShape 1"/>
        <xdr:cNvSpPr/>
      </xdr:nvSpPr>
      <xdr:spPr>
        <a:xfrm>
          <a:off x="7479720" y="5528880"/>
          <a:ext cx="7063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USB PLL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x 24</a:t>
          </a:r>
          <a:endParaRPr/>
        </a:p>
      </xdr:txBody>
    </xdr:sp>
    <xdr:clientData/>
  </xdr:twoCellAnchor>
  <xdr:twoCellAnchor editAs="oneCell">
    <xdr:from>
      <xdr:col>12</xdr:col>
      <xdr:colOff>38520</xdr:colOff>
      <xdr:row>32</xdr:row>
      <xdr:rowOff>26280</xdr:rowOff>
    </xdr:from>
    <xdr:to>
      <xdr:col>12</xdr:col>
      <xdr:colOff>42120</xdr:colOff>
      <xdr:row>33</xdr:row>
      <xdr:rowOff>132840</xdr:rowOff>
    </xdr:to>
    <xdr:sp>
      <xdr:nvSpPr>
        <xdr:cNvPr id="50" name="CustomShape 1"/>
        <xdr:cNvSpPr/>
      </xdr:nvSpPr>
      <xdr:spPr>
        <a:xfrm flipH="1" flipV="1">
          <a:off x="6684120" y="5821920"/>
          <a:ext cx="3600" cy="2815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201960</xdr:colOff>
      <xdr:row>31</xdr:row>
      <xdr:rowOff>90360</xdr:rowOff>
    </xdr:from>
    <xdr:to>
      <xdr:col>11</xdr:col>
      <xdr:colOff>217080</xdr:colOff>
      <xdr:row>31</xdr:row>
      <xdr:rowOff>90720</xdr:rowOff>
    </xdr:to>
    <xdr:sp>
      <xdr:nvSpPr>
        <xdr:cNvPr id="51" name="CustomShape 1"/>
        <xdr:cNvSpPr/>
      </xdr:nvSpPr>
      <xdr:spPr>
        <a:xfrm>
          <a:off x="5601960" y="5710680"/>
          <a:ext cx="77508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110880</xdr:colOff>
      <xdr:row>29</xdr:row>
      <xdr:rowOff>82440</xdr:rowOff>
    </xdr:from>
    <xdr:to>
      <xdr:col>23</xdr:col>
      <xdr:colOff>201960</xdr:colOff>
      <xdr:row>29</xdr:row>
      <xdr:rowOff>82800</xdr:rowOff>
    </xdr:to>
    <xdr:sp>
      <xdr:nvSpPr>
        <xdr:cNvPr id="52" name="CustomShape 1"/>
        <xdr:cNvSpPr/>
      </xdr:nvSpPr>
      <xdr:spPr>
        <a:xfrm flipV="1">
          <a:off x="10463760" y="5352120"/>
          <a:ext cx="25916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207360</xdr:colOff>
      <xdr:row>28</xdr:row>
      <xdr:rowOff>123840</xdr:rowOff>
    </xdr:from>
    <xdr:to>
      <xdr:col>24</xdr:col>
      <xdr:colOff>395280</xdr:colOff>
      <xdr:row>30</xdr:row>
      <xdr:rowOff>33840</xdr:rowOff>
    </xdr:to>
    <xdr:sp>
      <xdr:nvSpPr>
        <xdr:cNvPr id="53" name="CustomShape 1"/>
        <xdr:cNvSpPr/>
      </xdr:nvSpPr>
      <xdr:spPr>
        <a:xfrm>
          <a:off x="13060800" y="5218200"/>
          <a:ext cx="8154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USBCLK</a:t>
          </a:r>
          <a:endParaRPr/>
        </a:p>
      </xdr:txBody>
    </xdr:sp>
    <xdr:clientData/>
  </xdr:twoCellAnchor>
  <xdr:twoCellAnchor editAs="oneCell">
    <xdr:from>
      <xdr:col>5</xdr:col>
      <xdr:colOff>251640</xdr:colOff>
      <xdr:row>46</xdr:row>
      <xdr:rowOff>36720</xdr:rowOff>
    </xdr:from>
    <xdr:to>
      <xdr:col>8</xdr:col>
      <xdr:colOff>491400</xdr:colOff>
      <xdr:row>46</xdr:row>
      <xdr:rowOff>37080</xdr:rowOff>
    </xdr:to>
    <xdr:sp>
      <xdr:nvSpPr>
        <xdr:cNvPr id="54" name="CustomShape 1"/>
        <xdr:cNvSpPr/>
      </xdr:nvSpPr>
      <xdr:spPr>
        <a:xfrm flipV="1">
          <a:off x="2257920" y="8285760"/>
          <a:ext cx="222300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106920</xdr:colOff>
      <xdr:row>45</xdr:row>
      <xdr:rowOff>137160</xdr:rowOff>
    </xdr:from>
    <xdr:to>
      <xdr:col>5</xdr:col>
      <xdr:colOff>251280</xdr:colOff>
      <xdr:row>46</xdr:row>
      <xdr:rowOff>113760</xdr:rowOff>
    </xdr:to>
    <xdr:sp>
      <xdr:nvSpPr>
        <xdr:cNvPr id="55" name="CustomShape 1"/>
        <xdr:cNvSpPr/>
      </xdr:nvSpPr>
      <xdr:spPr>
        <a:xfrm>
          <a:off x="2113200" y="8210880"/>
          <a:ext cx="144360" cy="1519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101160</xdr:colOff>
      <xdr:row>45</xdr:row>
      <xdr:rowOff>131400</xdr:rowOff>
    </xdr:from>
    <xdr:to>
      <xdr:col>5</xdr:col>
      <xdr:colOff>249840</xdr:colOff>
      <xdr:row>46</xdr:row>
      <xdr:rowOff>115920</xdr:rowOff>
    </xdr:to>
    <xdr:sp>
      <xdr:nvSpPr>
        <xdr:cNvPr id="56" name="Line 1"/>
        <xdr:cNvSpPr/>
      </xdr:nvSpPr>
      <xdr:spPr>
        <a:xfrm flipV="1">
          <a:off x="2107440" y="8205120"/>
          <a:ext cx="148680" cy="159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106920</xdr:colOff>
      <xdr:row>45</xdr:row>
      <xdr:rowOff>140760</xdr:rowOff>
    </xdr:from>
    <xdr:to>
      <xdr:col>5</xdr:col>
      <xdr:colOff>257400</xdr:colOff>
      <xdr:row>46</xdr:row>
      <xdr:rowOff>114120</xdr:rowOff>
    </xdr:to>
    <xdr:sp>
      <xdr:nvSpPr>
        <xdr:cNvPr id="57" name="Line 1"/>
        <xdr:cNvSpPr/>
      </xdr:nvSpPr>
      <xdr:spPr>
        <a:xfrm flipH="1" flipV="1">
          <a:off x="2113200" y="8214480"/>
          <a:ext cx="150480" cy="1486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109080</xdr:colOff>
      <xdr:row>50</xdr:row>
      <xdr:rowOff>146160</xdr:rowOff>
    </xdr:from>
    <xdr:to>
      <xdr:col>5</xdr:col>
      <xdr:colOff>253440</xdr:colOff>
      <xdr:row>51</xdr:row>
      <xdr:rowOff>115920</xdr:rowOff>
    </xdr:to>
    <xdr:sp>
      <xdr:nvSpPr>
        <xdr:cNvPr id="58" name="CustomShape 1"/>
        <xdr:cNvSpPr/>
      </xdr:nvSpPr>
      <xdr:spPr>
        <a:xfrm>
          <a:off x="2115360" y="909648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102960</xdr:colOff>
      <xdr:row>50</xdr:row>
      <xdr:rowOff>140400</xdr:rowOff>
    </xdr:from>
    <xdr:to>
      <xdr:col>5</xdr:col>
      <xdr:colOff>251640</xdr:colOff>
      <xdr:row>51</xdr:row>
      <xdr:rowOff>118080</xdr:rowOff>
    </xdr:to>
    <xdr:sp>
      <xdr:nvSpPr>
        <xdr:cNvPr id="59" name="Line 1"/>
        <xdr:cNvSpPr/>
      </xdr:nvSpPr>
      <xdr:spPr>
        <a:xfrm flipV="1">
          <a:off x="2109240" y="9090720"/>
          <a:ext cx="148680" cy="1526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108720</xdr:colOff>
      <xdr:row>50</xdr:row>
      <xdr:rowOff>149400</xdr:rowOff>
    </xdr:from>
    <xdr:to>
      <xdr:col>5</xdr:col>
      <xdr:colOff>259200</xdr:colOff>
      <xdr:row>51</xdr:row>
      <xdr:rowOff>116280</xdr:rowOff>
    </xdr:to>
    <xdr:sp>
      <xdr:nvSpPr>
        <xdr:cNvPr id="60" name="Line 1"/>
        <xdr:cNvSpPr/>
      </xdr:nvSpPr>
      <xdr:spPr>
        <a:xfrm flipH="1" flipV="1">
          <a:off x="2115000" y="9099720"/>
          <a:ext cx="150480" cy="141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5</xdr:col>
      <xdr:colOff>253440</xdr:colOff>
      <xdr:row>51</xdr:row>
      <xdr:rowOff>43560</xdr:rowOff>
    </xdr:from>
    <xdr:to>
      <xdr:col>6</xdr:col>
      <xdr:colOff>377280</xdr:colOff>
      <xdr:row>51</xdr:row>
      <xdr:rowOff>43560</xdr:rowOff>
    </xdr:to>
    <xdr:sp>
      <xdr:nvSpPr>
        <xdr:cNvPr id="61" name="Line 1"/>
        <xdr:cNvSpPr/>
      </xdr:nvSpPr>
      <xdr:spPr>
        <a:xfrm flipH="1">
          <a:off x="2259720" y="9168840"/>
          <a:ext cx="727920" cy="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49</xdr:row>
      <xdr:rowOff>125640</xdr:rowOff>
    </xdr:from>
    <xdr:to>
      <xdr:col>5</xdr:col>
      <xdr:colOff>516600</xdr:colOff>
      <xdr:row>51</xdr:row>
      <xdr:rowOff>43560</xdr:rowOff>
    </xdr:to>
    <xdr:sp>
      <xdr:nvSpPr>
        <xdr:cNvPr id="62" name="Line 1"/>
        <xdr:cNvSpPr/>
      </xdr:nvSpPr>
      <xdr:spPr>
        <a:xfrm>
          <a:off x="2517480" y="8900640"/>
          <a:ext cx="5400" cy="2682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47</xdr:row>
      <xdr:rowOff>123480</xdr:rowOff>
    </xdr:from>
    <xdr:to>
      <xdr:col>6</xdr:col>
      <xdr:colOff>2880</xdr:colOff>
      <xdr:row>47</xdr:row>
      <xdr:rowOff>156600</xdr:rowOff>
    </xdr:to>
    <xdr:sp>
      <xdr:nvSpPr>
        <xdr:cNvPr id="63" name="Line 1"/>
        <xdr:cNvSpPr/>
      </xdr:nvSpPr>
      <xdr:spPr>
        <a:xfrm>
          <a:off x="2517480" y="8547840"/>
          <a:ext cx="95760" cy="33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505800</xdr:colOff>
      <xdr:row>49</xdr:row>
      <xdr:rowOff>85320</xdr:rowOff>
    </xdr:from>
    <xdr:to>
      <xdr:col>5</xdr:col>
      <xdr:colOff>604440</xdr:colOff>
      <xdr:row>49</xdr:row>
      <xdr:rowOff>123480</xdr:rowOff>
    </xdr:to>
    <xdr:sp>
      <xdr:nvSpPr>
        <xdr:cNvPr id="64" name="Line 1"/>
        <xdr:cNvSpPr/>
      </xdr:nvSpPr>
      <xdr:spPr>
        <a:xfrm flipV="1">
          <a:off x="2512080" y="8860320"/>
          <a:ext cx="98640" cy="381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48</xdr:row>
      <xdr:rowOff>50400</xdr:rowOff>
    </xdr:from>
    <xdr:to>
      <xdr:col>6</xdr:col>
      <xdr:colOff>5760</xdr:colOff>
      <xdr:row>48</xdr:row>
      <xdr:rowOff>119880</xdr:rowOff>
    </xdr:to>
    <xdr:sp>
      <xdr:nvSpPr>
        <xdr:cNvPr id="65" name="Line 1"/>
        <xdr:cNvSpPr/>
      </xdr:nvSpPr>
      <xdr:spPr>
        <a:xfrm>
          <a:off x="2415960" y="865008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49</xdr:row>
      <xdr:rowOff>19440</xdr:rowOff>
    </xdr:from>
    <xdr:to>
      <xdr:col>6</xdr:col>
      <xdr:colOff>5760</xdr:colOff>
      <xdr:row>49</xdr:row>
      <xdr:rowOff>88920</xdr:rowOff>
    </xdr:to>
    <xdr:sp>
      <xdr:nvSpPr>
        <xdr:cNvPr id="66" name="Line 1"/>
        <xdr:cNvSpPr/>
      </xdr:nvSpPr>
      <xdr:spPr>
        <a:xfrm>
          <a:off x="2415960" y="879444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415080</xdr:colOff>
      <xdr:row>47</xdr:row>
      <xdr:rowOff>154800</xdr:rowOff>
    </xdr:from>
    <xdr:to>
      <xdr:col>5</xdr:col>
      <xdr:colOff>604440</xdr:colOff>
      <xdr:row>48</xdr:row>
      <xdr:rowOff>48600</xdr:rowOff>
    </xdr:to>
    <xdr:sp>
      <xdr:nvSpPr>
        <xdr:cNvPr id="67" name="Line 1"/>
        <xdr:cNvSpPr/>
      </xdr:nvSpPr>
      <xdr:spPr>
        <a:xfrm flipV="1">
          <a:off x="2421360" y="8579160"/>
          <a:ext cx="18936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420840</xdr:colOff>
      <xdr:row>48</xdr:row>
      <xdr:rowOff>121680</xdr:rowOff>
    </xdr:from>
    <xdr:to>
      <xdr:col>6</xdr:col>
      <xdr:colOff>5760</xdr:colOff>
      <xdr:row>49</xdr:row>
      <xdr:rowOff>15840</xdr:rowOff>
    </xdr:to>
    <xdr:sp>
      <xdr:nvSpPr>
        <xdr:cNvPr id="68" name="Line 1"/>
        <xdr:cNvSpPr/>
      </xdr:nvSpPr>
      <xdr:spPr>
        <a:xfrm flipV="1">
          <a:off x="2427120" y="8721360"/>
          <a:ext cx="18900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508320</xdr:colOff>
      <xdr:row>46</xdr:row>
      <xdr:rowOff>34200</xdr:rowOff>
    </xdr:from>
    <xdr:to>
      <xdr:col>5</xdr:col>
      <xdr:colOff>511200</xdr:colOff>
      <xdr:row>47</xdr:row>
      <xdr:rowOff>123480</xdr:rowOff>
    </xdr:to>
    <xdr:sp>
      <xdr:nvSpPr>
        <xdr:cNvPr id="69" name="Line 1"/>
        <xdr:cNvSpPr/>
      </xdr:nvSpPr>
      <xdr:spPr>
        <a:xfrm>
          <a:off x="2514600" y="8283240"/>
          <a:ext cx="2880" cy="2646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367920</xdr:colOff>
      <xdr:row>46</xdr:row>
      <xdr:rowOff>41760</xdr:rowOff>
    </xdr:from>
    <xdr:to>
      <xdr:col>6</xdr:col>
      <xdr:colOff>367920</xdr:colOff>
      <xdr:row>51</xdr:row>
      <xdr:rowOff>49320</xdr:rowOff>
    </xdr:to>
    <xdr:sp>
      <xdr:nvSpPr>
        <xdr:cNvPr id="70" name="Line 1"/>
        <xdr:cNvSpPr/>
      </xdr:nvSpPr>
      <xdr:spPr>
        <a:xfrm flipV="1">
          <a:off x="2978280" y="8290800"/>
          <a:ext cx="0" cy="8838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569880</xdr:colOff>
      <xdr:row>49</xdr:row>
      <xdr:rowOff>109440</xdr:rowOff>
    </xdr:from>
    <xdr:to>
      <xdr:col>7</xdr:col>
      <xdr:colOff>354240</xdr:colOff>
      <xdr:row>51</xdr:row>
      <xdr:rowOff>102240</xdr:rowOff>
    </xdr:to>
    <xdr:sp>
      <xdr:nvSpPr>
        <xdr:cNvPr id="71" name="CustomShape 1"/>
        <xdr:cNvSpPr/>
      </xdr:nvSpPr>
      <xdr:spPr>
        <a:xfrm rot="10800000">
          <a:off x="3180240" y="8884440"/>
          <a:ext cx="403560" cy="343080"/>
        </a:xfrm>
        <a:prstGeom prst="triangle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347400</xdr:colOff>
      <xdr:row>49</xdr:row>
      <xdr:rowOff>107640</xdr:rowOff>
    </xdr:from>
    <xdr:to>
      <xdr:col>6</xdr:col>
      <xdr:colOff>392040</xdr:colOff>
      <xdr:row>49</xdr:row>
      <xdr:rowOff>151200</xdr:rowOff>
    </xdr:to>
    <xdr:sp>
      <xdr:nvSpPr>
        <xdr:cNvPr id="72" name="CustomShape 1"/>
        <xdr:cNvSpPr/>
      </xdr:nvSpPr>
      <xdr:spPr>
        <a:xfrm>
          <a:off x="2957760" y="8882640"/>
          <a:ext cx="44640" cy="435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468360</xdr:colOff>
      <xdr:row>48</xdr:row>
      <xdr:rowOff>112320</xdr:rowOff>
    </xdr:from>
    <xdr:to>
      <xdr:col>7</xdr:col>
      <xdr:colOff>290880</xdr:colOff>
      <xdr:row>48</xdr:row>
      <xdr:rowOff>112680</xdr:rowOff>
    </xdr:to>
    <xdr:sp>
      <xdr:nvSpPr>
        <xdr:cNvPr id="73" name="CustomShape 1"/>
        <xdr:cNvSpPr/>
      </xdr:nvSpPr>
      <xdr:spPr>
        <a:xfrm flipH="1">
          <a:off x="3078720" y="8712000"/>
          <a:ext cx="4417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291960</xdr:colOff>
      <xdr:row>47</xdr:row>
      <xdr:rowOff>104760</xdr:rowOff>
    </xdr:from>
    <xdr:to>
      <xdr:col>8</xdr:col>
      <xdr:colOff>26640</xdr:colOff>
      <xdr:row>49</xdr:row>
      <xdr:rowOff>119160</xdr:rowOff>
    </xdr:to>
    <xdr:sp>
      <xdr:nvSpPr>
        <xdr:cNvPr id="74" name="CustomShape 1"/>
        <xdr:cNvSpPr/>
      </xdr:nvSpPr>
      <xdr:spPr>
        <a:xfrm>
          <a:off x="3521520" y="8529120"/>
          <a:ext cx="49464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SOSC Enable</a:t>
          </a:r>
          <a:endParaRPr/>
        </a:p>
      </xdr:txBody>
    </xdr:sp>
    <xdr:clientData/>
  </xdr:twoCellAnchor>
  <xdr:twoCellAnchor editAs="oneCell">
    <xdr:from>
      <xdr:col>3</xdr:col>
      <xdr:colOff>583200</xdr:colOff>
      <xdr:row>47</xdr:row>
      <xdr:rowOff>135360</xdr:rowOff>
    </xdr:from>
    <xdr:to>
      <xdr:col>5</xdr:col>
      <xdr:colOff>277920</xdr:colOff>
      <xdr:row>49</xdr:row>
      <xdr:rowOff>157680</xdr:rowOff>
    </xdr:to>
    <xdr:sp>
      <xdr:nvSpPr>
        <xdr:cNvPr id="75" name="CustomShape 1"/>
        <xdr:cNvSpPr/>
      </xdr:nvSpPr>
      <xdr:spPr>
        <a:xfrm>
          <a:off x="1594080" y="8559720"/>
          <a:ext cx="690120" cy="37296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SOSC Oscillator</a:t>
          </a:r>
          <a:endParaRPr/>
        </a:p>
      </xdr:txBody>
    </xdr:sp>
    <xdr:clientData/>
  </xdr:twoCellAnchor>
  <xdr:twoCellAnchor editAs="oneCell">
    <xdr:from>
      <xdr:col>1</xdr:col>
      <xdr:colOff>141480</xdr:colOff>
      <xdr:row>47</xdr:row>
      <xdr:rowOff>13320</xdr:rowOff>
    </xdr:from>
    <xdr:to>
      <xdr:col>3</xdr:col>
      <xdr:colOff>434160</xdr:colOff>
      <xdr:row>50</xdr:row>
      <xdr:rowOff>127080</xdr:rowOff>
    </xdr:to>
    <xdr:sp>
      <xdr:nvSpPr>
        <xdr:cNvPr id="76" name="CustomShape 1"/>
        <xdr:cNvSpPr/>
      </xdr:nvSpPr>
      <xdr:spPr>
        <a:xfrm>
          <a:off x="470160" y="8437680"/>
          <a:ext cx="97488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External Secondary Oscillator</a:t>
          </a:r>
          <a:endParaRPr/>
        </a:p>
      </xdr:txBody>
    </xdr:sp>
    <xdr:clientData/>
  </xdr:twoCellAnchor>
  <xdr:twoCellAnchor editAs="oneCell">
    <xdr:from>
      <xdr:col>4</xdr:col>
      <xdr:colOff>2880</xdr:colOff>
      <xdr:row>40</xdr:row>
      <xdr:rowOff>146880</xdr:rowOff>
    </xdr:from>
    <xdr:to>
      <xdr:col>5</xdr:col>
      <xdr:colOff>323640</xdr:colOff>
      <xdr:row>43</xdr:row>
      <xdr:rowOff>161640</xdr:rowOff>
    </xdr:to>
    <xdr:sp>
      <xdr:nvSpPr>
        <xdr:cNvPr id="77" name="CustomShape 1"/>
        <xdr:cNvSpPr/>
      </xdr:nvSpPr>
      <xdr:spPr>
        <a:xfrm>
          <a:off x="1601640" y="7344360"/>
          <a:ext cx="728280" cy="5407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LPRC Oscillator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32 KHz</a:t>
          </a:r>
          <a:endParaRPr/>
        </a:p>
      </xdr:txBody>
    </xdr:sp>
    <xdr:clientData/>
  </xdr:twoCellAnchor>
  <xdr:twoCellAnchor editAs="oneCell">
    <xdr:from>
      <xdr:col>5</xdr:col>
      <xdr:colOff>324360</xdr:colOff>
      <xdr:row>42</xdr:row>
      <xdr:rowOff>66600</xdr:rowOff>
    </xdr:from>
    <xdr:to>
      <xdr:col>6</xdr:col>
      <xdr:colOff>331560</xdr:colOff>
      <xdr:row>42</xdr:row>
      <xdr:rowOff>67680</xdr:rowOff>
    </xdr:to>
    <xdr:sp>
      <xdr:nvSpPr>
        <xdr:cNvPr id="78" name="CustomShape 1"/>
        <xdr:cNvSpPr/>
      </xdr:nvSpPr>
      <xdr:spPr>
        <a:xfrm>
          <a:off x="2330640" y="7614720"/>
          <a:ext cx="61128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335520</xdr:colOff>
      <xdr:row>41</xdr:row>
      <xdr:rowOff>108720</xdr:rowOff>
    </xdr:from>
    <xdr:to>
      <xdr:col>7</xdr:col>
      <xdr:colOff>312120</xdr:colOff>
      <xdr:row>43</xdr:row>
      <xdr:rowOff>18720</xdr:rowOff>
    </xdr:to>
    <xdr:sp>
      <xdr:nvSpPr>
        <xdr:cNvPr id="79" name="CustomShape 1"/>
        <xdr:cNvSpPr/>
      </xdr:nvSpPr>
      <xdr:spPr>
        <a:xfrm>
          <a:off x="2945880" y="748152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8</xdr:col>
      <xdr:colOff>495360</xdr:colOff>
      <xdr:row>45</xdr:row>
      <xdr:rowOff>78120</xdr:rowOff>
    </xdr:from>
    <xdr:to>
      <xdr:col>9</xdr:col>
      <xdr:colOff>348120</xdr:colOff>
      <xdr:row>46</xdr:row>
      <xdr:rowOff>163440</xdr:rowOff>
    </xdr:to>
    <xdr:sp>
      <xdr:nvSpPr>
        <xdr:cNvPr id="80" name="CustomShape 1"/>
        <xdr:cNvSpPr/>
      </xdr:nvSpPr>
      <xdr:spPr>
        <a:xfrm>
          <a:off x="4484880" y="815184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6</xdr:col>
      <xdr:colOff>369720</xdr:colOff>
      <xdr:row>32</xdr:row>
      <xdr:rowOff>88920</xdr:rowOff>
    </xdr:from>
    <xdr:to>
      <xdr:col>7</xdr:col>
      <xdr:colOff>34560</xdr:colOff>
      <xdr:row>32</xdr:row>
      <xdr:rowOff>90360</xdr:rowOff>
    </xdr:to>
    <xdr:sp>
      <xdr:nvSpPr>
        <xdr:cNvPr id="81" name="Line 1"/>
        <xdr:cNvSpPr/>
      </xdr:nvSpPr>
      <xdr:spPr>
        <a:xfrm flipH="1" flipV="1">
          <a:off x="2980080" y="5884560"/>
          <a:ext cx="284040" cy="1440"/>
        </a:xfrm>
        <a:prstGeom prst="line">
          <a:avLst/>
        </a:prstGeom>
        <a:ln w="25560">
          <a:solidFill>
            <a:schemeClr val="tx1"/>
          </a:solidFill>
          <a:round/>
          <a:tailEnd len="med" type="triangle" w="med"/>
        </a:ln>
      </xdr:spPr>
    </xdr:sp>
    <xdr:clientData/>
  </xdr:twoCellAnchor>
  <xdr:twoCellAnchor editAs="oneCell">
    <xdr:from>
      <xdr:col>7</xdr:col>
      <xdr:colOff>38880</xdr:colOff>
      <xdr:row>31</xdr:row>
      <xdr:rowOff>131040</xdr:rowOff>
    </xdr:from>
    <xdr:to>
      <xdr:col>7</xdr:col>
      <xdr:colOff>744480</xdr:colOff>
      <xdr:row>33</xdr:row>
      <xdr:rowOff>41400</xdr:rowOff>
    </xdr:to>
    <xdr:sp>
      <xdr:nvSpPr>
        <xdr:cNvPr id="82" name="CustomShape 1"/>
        <xdr:cNvSpPr/>
      </xdr:nvSpPr>
      <xdr:spPr>
        <a:xfrm>
          <a:off x="3268440" y="5751360"/>
          <a:ext cx="705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PBCLK</a:t>
          </a:r>
          <a:endParaRPr/>
        </a:p>
      </xdr:txBody>
    </xdr:sp>
    <xdr:clientData/>
  </xdr:twoCellAnchor>
  <xdr:twoCellAnchor editAs="oneCell">
    <xdr:from>
      <xdr:col>5</xdr:col>
      <xdr:colOff>293760</xdr:colOff>
      <xdr:row>31</xdr:row>
      <xdr:rowOff>81720</xdr:rowOff>
    </xdr:from>
    <xdr:to>
      <xdr:col>6</xdr:col>
      <xdr:colOff>369720</xdr:colOff>
      <xdr:row>33</xdr:row>
      <xdr:rowOff>96840</xdr:rowOff>
    </xdr:to>
    <xdr:sp>
      <xdr:nvSpPr>
        <xdr:cNvPr id="83" name="CustomShape 1"/>
        <xdr:cNvSpPr/>
      </xdr:nvSpPr>
      <xdr:spPr>
        <a:xfrm>
          <a:off x="2300040" y="5702040"/>
          <a:ext cx="68004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CLK Out Enable</a:t>
          </a:r>
          <a:endParaRPr/>
        </a:p>
      </xdr:txBody>
    </xdr:sp>
    <xdr:clientData/>
  </xdr:twoCellAnchor>
  <xdr:twoCellAnchor editAs="oneCell">
    <xdr:from>
      <xdr:col>6</xdr:col>
      <xdr:colOff>34560</xdr:colOff>
      <xdr:row>30</xdr:row>
      <xdr:rowOff>31680</xdr:rowOff>
    </xdr:from>
    <xdr:to>
      <xdr:col>6</xdr:col>
      <xdr:colOff>38160</xdr:colOff>
      <xdr:row>31</xdr:row>
      <xdr:rowOff>80640</xdr:rowOff>
    </xdr:to>
    <xdr:sp>
      <xdr:nvSpPr>
        <xdr:cNvPr id="84" name="CustomShape 1"/>
        <xdr:cNvSpPr/>
      </xdr:nvSpPr>
      <xdr:spPr>
        <a:xfrm flipH="1" flipV="1">
          <a:off x="2644920" y="5476680"/>
          <a:ext cx="3600" cy="2242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164160</xdr:colOff>
      <xdr:row>40</xdr:row>
      <xdr:rowOff>108720</xdr:rowOff>
    </xdr:from>
    <xdr:to>
      <xdr:col>3</xdr:col>
      <xdr:colOff>518040</xdr:colOff>
      <xdr:row>44</xdr:row>
      <xdr:rowOff>47160</xdr:rowOff>
    </xdr:to>
    <xdr:sp>
      <xdr:nvSpPr>
        <xdr:cNvPr id="85" name="CustomShape 1"/>
        <xdr:cNvSpPr/>
      </xdr:nvSpPr>
      <xdr:spPr>
        <a:xfrm>
          <a:off x="492840" y="7306200"/>
          <a:ext cx="103608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Low Power RC Oscillator</a:t>
          </a:r>
          <a:endParaRPr/>
        </a:p>
      </xdr:txBody>
    </xdr:sp>
    <xdr:clientData/>
  </xdr:twoCellAnchor>
  <xdr:twoCellAnchor editAs="oneCell">
    <xdr:from>
      <xdr:col>13</xdr:col>
      <xdr:colOff>453600</xdr:colOff>
      <xdr:row>38</xdr:row>
      <xdr:rowOff>157680</xdr:rowOff>
    </xdr:from>
    <xdr:to>
      <xdr:col>13</xdr:col>
      <xdr:colOff>758160</xdr:colOff>
      <xdr:row>52</xdr:row>
      <xdr:rowOff>161640</xdr:rowOff>
    </xdr:to>
    <xdr:sp>
      <xdr:nvSpPr>
        <xdr:cNvPr id="86" name="CustomShape 1"/>
        <xdr:cNvSpPr/>
      </xdr:nvSpPr>
      <xdr:spPr>
        <a:xfrm>
          <a:off x="7624440" y="7004880"/>
          <a:ext cx="304560" cy="2457360"/>
        </a:xfrm>
        <a:prstGeom prst="trapezoid">
          <a:avLst>
            <a:gd name="adj" fmla="val 27000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126000</xdr:colOff>
      <xdr:row>39</xdr:row>
      <xdr:rowOff>169560</xdr:rowOff>
    </xdr:from>
    <xdr:to>
      <xdr:col>13</xdr:col>
      <xdr:colOff>438120</xdr:colOff>
      <xdr:row>40</xdr:row>
      <xdr:rowOff>1440</xdr:rowOff>
    </xdr:to>
    <xdr:sp>
      <xdr:nvSpPr>
        <xdr:cNvPr id="87" name="CustomShape 1"/>
        <xdr:cNvSpPr/>
      </xdr:nvSpPr>
      <xdr:spPr>
        <a:xfrm>
          <a:off x="6771600" y="7191720"/>
          <a:ext cx="83736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399240</xdr:colOff>
      <xdr:row>38</xdr:row>
      <xdr:rowOff>115920</xdr:rowOff>
    </xdr:from>
    <xdr:to>
      <xdr:col>12</xdr:col>
      <xdr:colOff>73440</xdr:colOff>
      <xdr:row>41</xdr:row>
      <xdr:rowOff>47160</xdr:rowOff>
    </xdr:to>
    <xdr:sp>
      <xdr:nvSpPr>
        <xdr:cNvPr id="88" name="CustomShape 1"/>
        <xdr:cNvSpPr/>
      </xdr:nvSpPr>
      <xdr:spPr>
        <a:xfrm>
          <a:off x="5148720" y="6963120"/>
          <a:ext cx="1570320" cy="4568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XTPLL, HSPLL, ECPLL, FRCPLL</a:t>
          </a:r>
          <a:endParaRPr/>
        </a:p>
      </xdr:txBody>
    </xdr:sp>
    <xdr:clientData/>
  </xdr:twoCellAnchor>
  <xdr:twoCellAnchor editAs="oneCell">
    <xdr:from>
      <xdr:col>12</xdr:col>
      <xdr:colOff>133200</xdr:colOff>
      <xdr:row>41</xdr:row>
      <xdr:rowOff>163440</xdr:rowOff>
    </xdr:from>
    <xdr:to>
      <xdr:col>13</xdr:col>
      <xdr:colOff>442080</xdr:colOff>
      <xdr:row>41</xdr:row>
      <xdr:rowOff>163800</xdr:rowOff>
    </xdr:to>
    <xdr:sp>
      <xdr:nvSpPr>
        <xdr:cNvPr id="89" name="CustomShape 1"/>
        <xdr:cNvSpPr/>
      </xdr:nvSpPr>
      <xdr:spPr>
        <a:xfrm>
          <a:off x="6778800" y="7536240"/>
          <a:ext cx="8341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727560</xdr:colOff>
      <xdr:row>41</xdr:row>
      <xdr:rowOff>28440</xdr:rowOff>
    </xdr:from>
    <xdr:to>
      <xdr:col>12</xdr:col>
      <xdr:colOff>94680</xdr:colOff>
      <xdr:row>42</xdr:row>
      <xdr:rowOff>113760</xdr:rowOff>
    </xdr:to>
    <xdr:sp>
      <xdr:nvSpPr>
        <xdr:cNvPr id="90" name="CustomShape 1"/>
        <xdr:cNvSpPr/>
      </xdr:nvSpPr>
      <xdr:spPr>
        <a:xfrm>
          <a:off x="6127560" y="740124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12</xdr:col>
      <xdr:colOff>73080</xdr:colOff>
      <xdr:row>43</xdr:row>
      <xdr:rowOff>163080</xdr:rowOff>
    </xdr:from>
    <xdr:to>
      <xdr:col>13</xdr:col>
      <xdr:colOff>443520</xdr:colOff>
      <xdr:row>43</xdr:row>
      <xdr:rowOff>165240</xdr:rowOff>
    </xdr:to>
    <xdr:sp>
      <xdr:nvSpPr>
        <xdr:cNvPr id="91" name="CustomShape 1"/>
        <xdr:cNvSpPr/>
      </xdr:nvSpPr>
      <xdr:spPr>
        <a:xfrm>
          <a:off x="6718680" y="7886520"/>
          <a:ext cx="89568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47880</xdr:colOff>
      <xdr:row>43</xdr:row>
      <xdr:rowOff>28080</xdr:rowOff>
    </xdr:from>
    <xdr:to>
      <xdr:col>12</xdr:col>
      <xdr:colOff>56160</xdr:colOff>
      <xdr:row>44</xdr:row>
      <xdr:rowOff>113400</xdr:rowOff>
    </xdr:to>
    <xdr:sp>
      <xdr:nvSpPr>
        <xdr:cNvPr id="92" name="CustomShape 1"/>
        <xdr:cNvSpPr/>
      </xdr:nvSpPr>
      <xdr:spPr>
        <a:xfrm>
          <a:off x="6207840" y="7751520"/>
          <a:ext cx="4939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</a:t>
          </a:r>
          <a:endParaRPr/>
        </a:p>
      </xdr:txBody>
    </xdr:sp>
    <xdr:clientData/>
  </xdr:twoCellAnchor>
  <xdr:twoCellAnchor editAs="oneCell">
    <xdr:from>
      <xdr:col>12</xdr:col>
      <xdr:colOff>180360</xdr:colOff>
      <xdr:row>45</xdr:row>
      <xdr:rowOff>161280</xdr:rowOff>
    </xdr:from>
    <xdr:to>
      <xdr:col>13</xdr:col>
      <xdr:colOff>443880</xdr:colOff>
      <xdr:row>45</xdr:row>
      <xdr:rowOff>163440</xdr:rowOff>
    </xdr:to>
    <xdr:sp>
      <xdr:nvSpPr>
        <xdr:cNvPr id="93" name="CustomShape 1"/>
        <xdr:cNvSpPr/>
      </xdr:nvSpPr>
      <xdr:spPr>
        <a:xfrm>
          <a:off x="6825960" y="8235000"/>
          <a:ext cx="78876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681120</xdr:colOff>
      <xdr:row>45</xdr:row>
      <xdr:rowOff>26640</xdr:rowOff>
    </xdr:from>
    <xdr:to>
      <xdr:col>12</xdr:col>
      <xdr:colOff>141120</xdr:colOff>
      <xdr:row>46</xdr:row>
      <xdr:rowOff>111960</xdr:rowOff>
    </xdr:to>
    <xdr:sp>
      <xdr:nvSpPr>
        <xdr:cNvPr id="94" name="CustomShape 1"/>
        <xdr:cNvSpPr/>
      </xdr:nvSpPr>
      <xdr:spPr>
        <a:xfrm>
          <a:off x="6081120" y="8100360"/>
          <a:ext cx="705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FRC/16</a:t>
          </a:r>
          <a:endParaRPr/>
        </a:p>
      </xdr:txBody>
    </xdr:sp>
    <xdr:clientData/>
  </xdr:twoCellAnchor>
  <xdr:twoCellAnchor editAs="oneCell">
    <xdr:from>
      <xdr:col>12</xdr:col>
      <xdr:colOff>201600</xdr:colOff>
      <xdr:row>47</xdr:row>
      <xdr:rowOff>163440</xdr:rowOff>
    </xdr:from>
    <xdr:to>
      <xdr:col>13</xdr:col>
      <xdr:colOff>440280</xdr:colOff>
      <xdr:row>47</xdr:row>
      <xdr:rowOff>167400</xdr:rowOff>
    </xdr:to>
    <xdr:sp>
      <xdr:nvSpPr>
        <xdr:cNvPr id="95" name="CustomShape 1"/>
        <xdr:cNvSpPr/>
      </xdr:nvSpPr>
      <xdr:spPr>
        <a:xfrm>
          <a:off x="6847200" y="8587800"/>
          <a:ext cx="76392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659880</xdr:colOff>
      <xdr:row>47</xdr:row>
      <xdr:rowOff>28440</xdr:rowOff>
    </xdr:from>
    <xdr:to>
      <xdr:col>12</xdr:col>
      <xdr:colOff>162360</xdr:colOff>
      <xdr:row>48</xdr:row>
      <xdr:rowOff>113760</xdr:rowOff>
    </xdr:to>
    <xdr:sp>
      <xdr:nvSpPr>
        <xdr:cNvPr id="96" name="CustomShape 1"/>
        <xdr:cNvSpPr/>
      </xdr:nvSpPr>
      <xdr:spPr>
        <a:xfrm>
          <a:off x="6059880" y="8452800"/>
          <a:ext cx="748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FRCDIV</a:t>
          </a:r>
          <a:endParaRPr/>
        </a:p>
      </xdr:txBody>
    </xdr:sp>
    <xdr:clientData/>
  </xdr:twoCellAnchor>
  <xdr:twoCellAnchor editAs="oneCell">
    <xdr:from>
      <xdr:col>12</xdr:col>
      <xdr:colOff>124560</xdr:colOff>
      <xdr:row>49</xdr:row>
      <xdr:rowOff>160920</xdr:rowOff>
    </xdr:from>
    <xdr:to>
      <xdr:col>13</xdr:col>
      <xdr:colOff>439920</xdr:colOff>
      <xdr:row>49</xdr:row>
      <xdr:rowOff>164880</xdr:rowOff>
    </xdr:to>
    <xdr:sp>
      <xdr:nvSpPr>
        <xdr:cNvPr id="97" name="CustomShape 1"/>
        <xdr:cNvSpPr/>
      </xdr:nvSpPr>
      <xdr:spPr>
        <a:xfrm>
          <a:off x="6770160" y="8935920"/>
          <a:ext cx="8406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736200</xdr:colOff>
      <xdr:row>49</xdr:row>
      <xdr:rowOff>26280</xdr:rowOff>
    </xdr:from>
    <xdr:to>
      <xdr:col>12</xdr:col>
      <xdr:colOff>86400</xdr:colOff>
      <xdr:row>50</xdr:row>
      <xdr:rowOff>111600</xdr:rowOff>
    </xdr:to>
    <xdr:sp>
      <xdr:nvSpPr>
        <xdr:cNvPr id="98" name="CustomShape 1"/>
        <xdr:cNvSpPr/>
      </xdr:nvSpPr>
      <xdr:spPr>
        <a:xfrm>
          <a:off x="6136200" y="880128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14</xdr:col>
      <xdr:colOff>4320</xdr:colOff>
      <xdr:row>48</xdr:row>
      <xdr:rowOff>82080</xdr:rowOff>
    </xdr:from>
    <xdr:to>
      <xdr:col>15</xdr:col>
      <xdr:colOff>407160</xdr:colOff>
      <xdr:row>48</xdr:row>
      <xdr:rowOff>83160</xdr:rowOff>
    </xdr:to>
    <xdr:sp>
      <xdr:nvSpPr>
        <xdr:cNvPr id="99" name="CustomShape 1"/>
        <xdr:cNvSpPr/>
      </xdr:nvSpPr>
      <xdr:spPr>
        <a:xfrm>
          <a:off x="7935120" y="8681760"/>
          <a:ext cx="108504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5400</xdr:colOff>
      <xdr:row>47</xdr:row>
      <xdr:rowOff>123840</xdr:rowOff>
    </xdr:from>
    <xdr:to>
      <xdr:col>17</xdr:col>
      <xdr:colOff>175320</xdr:colOff>
      <xdr:row>49</xdr:row>
      <xdr:rowOff>33840</xdr:rowOff>
    </xdr:to>
    <xdr:sp>
      <xdr:nvSpPr>
        <xdr:cNvPr id="100" name="CustomShape 1"/>
        <xdr:cNvSpPr/>
      </xdr:nvSpPr>
      <xdr:spPr>
        <a:xfrm>
          <a:off x="9025920" y="8548200"/>
          <a:ext cx="9302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SYSCLK =</a:t>
          </a:r>
          <a:endParaRPr/>
        </a:p>
      </xdr:txBody>
    </xdr:sp>
    <xdr:clientData/>
  </xdr:twoCellAnchor>
  <xdr:twoCellAnchor editAs="oneCell">
    <xdr:from>
      <xdr:col>13</xdr:col>
      <xdr:colOff>613800</xdr:colOff>
      <xdr:row>52</xdr:row>
      <xdr:rowOff>55440</xdr:rowOff>
    </xdr:from>
    <xdr:to>
      <xdr:col>13</xdr:col>
      <xdr:colOff>614160</xdr:colOff>
      <xdr:row>54</xdr:row>
      <xdr:rowOff>154080</xdr:rowOff>
    </xdr:to>
    <xdr:sp>
      <xdr:nvSpPr>
        <xdr:cNvPr id="101" name="CustomShape 1"/>
        <xdr:cNvSpPr/>
      </xdr:nvSpPr>
      <xdr:spPr>
        <a:xfrm flipV="1">
          <a:off x="7784640" y="9356040"/>
          <a:ext cx="360" cy="4492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149040</xdr:colOff>
      <xdr:row>44</xdr:row>
      <xdr:rowOff>159840</xdr:rowOff>
    </xdr:from>
    <xdr:to>
      <xdr:col>16</xdr:col>
      <xdr:colOff>308880</xdr:colOff>
      <xdr:row>46</xdr:row>
      <xdr:rowOff>30240</xdr:rowOff>
    </xdr:to>
    <xdr:sp>
      <xdr:nvSpPr>
        <xdr:cNvPr id="102" name="CustomShape 1"/>
        <xdr:cNvSpPr/>
      </xdr:nvSpPr>
      <xdr:spPr>
        <a:xfrm>
          <a:off x="8762040" y="8058600"/>
          <a:ext cx="56736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16</xdr:col>
      <xdr:colOff>505080</xdr:colOff>
      <xdr:row>44</xdr:row>
      <xdr:rowOff>136800</xdr:rowOff>
    </xdr:from>
    <xdr:to>
      <xdr:col>18</xdr:col>
      <xdr:colOff>9720</xdr:colOff>
      <xdr:row>46</xdr:row>
      <xdr:rowOff>47160</xdr:rowOff>
    </xdr:to>
    <xdr:sp>
      <xdr:nvSpPr>
        <xdr:cNvPr id="103" name="CustomShape 1"/>
        <xdr:cNvSpPr/>
      </xdr:nvSpPr>
      <xdr:spPr>
        <a:xfrm>
          <a:off x="9525600" y="8035560"/>
          <a:ext cx="8370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 =</a:t>
          </a:r>
          <a:endParaRPr/>
        </a:p>
      </xdr:txBody>
    </xdr:sp>
    <xdr:clientData/>
  </xdr:twoCellAnchor>
  <xdr:twoCellAnchor editAs="oneCell">
    <xdr:from>
      <xdr:col>16</xdr:col>
      <xdr:colOff>308880</xdr:colOff>
      <xdr:row>45</xdr:row>
      <xdr:rowOff>95400</xdr:rowOff>
    </xdr:from>
    <xdr:to>
      <xdr:col>16</xdr:col>
      <xdr:colOff>499680</xdr:colOff>
      <xdr:row>45</xdr:row>
      <xdr:rowOff>96480</xdr:rowOff>
    </xdr:to>
    <xdr:sp>
      <xdr:nvSpPr>
        <xdr:cNvPr id="104" name="CustomShape 1"/>
        <xdr:cNvSpPr/>
      </xdr:nvSpPr>
      <xdr:spPr>
        <a:xfrm>
          <a:off x="9329400" y="8169120"/>
          <a:ext cx="19080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362160</xdr:colOff>
      <xdr:row>45</xdr:row>
      <xdr:rowOff>93240</xdr:rowOff>
    </xdr:from>
    <xdr:to>
      <xdr:col>15</xdr:col>
      <xdr:colOff>148320</xdr:colOff>
      <xdr:row>45</xdr:row>
      <xdr:rowOff>94680</xdr:rowOff>
    </xdr:to>
    <xdr:sp>
      <xdr:nvSpPr>
        <xdr:cNvPr id="105" name="CustomShape 1"/>
        <xdr:cNvSpPr/>
      </xdr:nvSpPr>
      <xdr:spPr>
        <a:xfrm>
          <a:off x="8292960" y="8166960"/>
          <a:ext cx="46836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354600</xdr:colOff>
      <xdr:row>45</xdr:row>
      <xdr:rowOff>101160</xdr:rowOff>
    </xdr:from>
    <xdr:to>
      <xdr:col>14</xdr:col>
      <xdr:colOff>354960</xdr:colOff>
      <xdr:row>48</xdr:row>
      <xdr:rowOff>93240</xdr:rowOff>
    </xdr:to>
    <xdr:sp>
      <xdr:nvSpPr>
        <xdr:cNvPr id="106" name="CustomShape 1"/>
        <xdr:cNvSpPr/>
      </xdr:nvSpPr>
      <xdr:spPr>
        <a:xfrm>
          <a:off x="8285400" y="8174880"/>
          <a:ext cx="360" cy="5180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491760</xdr:colOff>
      <xdr:row>3</xdr:row>
      <xdr:rowOff>105480</xdr:rowOff>
    </xdr:from>
    <xdr:to>
      <xdr:col>14</xdr:col>
      <xdr:colOff>274320</xdr:colOff>
      <xdr:row>6</xdr:row>
      <xdr:rowOff>59400</xdr:rowOff>
    </xdr:to>
    <xdr:sp>
      <xdr:nvSpPr>
        <xdr:cNvPr id="107" name="CustomShape 1"/>
        <xdr:cNvSpPr/>
      </xdr:nvSpPr>
      <xdr:spPr>
        <a:xfrm>
          <a:off x="5241240" y="813960"/>
          <a:ext cx="296388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Click on highlighted cells and select settings per drop-down list</a:t>
          </a:r>
          <a:endParaRPr/>
        </a:p>
      </xdr:txBody>
    </xdr:sp>
    <xdr:clientData/>
  </xdr:twoCellAnchor>
  <xdr:twoCellAnchor editAs="oneCell">
    <xdr:from>
      <xdr:col>9</xdr:col>
      <xdr:colOff>361440</xdr:colOff>
      <xdr:row>6</xdr:row>
      <xdr:rowOff>97560</xdr:rowOff>
    </xdr:from>
    <xdr:to>
      <xdr:col>10</xdr:col>
      <xdr:colOff>94320</xdr:colOff>
      <xdr:row>8</xdr:row>
      <xdr:rowOff>120240</xdr:rowOff>
    </xdr:to>
    <xdr:sp>
      <xdr:nvSpPr>
        <xdr:cNvPr id="108" name="CustomShape 1"/>
        <xdr:cNvSpPr/>
      </xdr:nvSpPr>
      <xdr:spPr>
        <a:xfrm flipH="1">
          <a:off x="5110920" y="1332000"/>
          <a:ext cx="383400" cy="37296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126000</xdr:colOff>
      <xdr:row>15</xdr:row>
      <xdr:rowOff>120600</xdr:rowOff>
    </xdr:from>
    <xdr:to>
      <xdr:col>4</xdr:col>
      <xdr:colOff>355680</xdr:colOff>
      <xdr:row>18</xdr:row>
      <xdr:rowOff>74520</xdr:rowOff>
    </xdr:to>
    <xdr:sp>
      <xdr:nvSpPr>
        <xdr:cNvPr id="109" name="CustomShape 1"/>
        <xdr:cNvSpPr/>
      </xdr:nvSpPr>
      <xdr:spPr>
        <a:xfrm>
          <a:off x="126000" y="2932200"/>
          <a:ext cx="182844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Enter external clock or crystal frequency</a:t>
          </a:r>
          <a:endParaRPr/>
        </a:p>
      </xdr:txBody>
    </xdr:sp>
    <xdr:clientData/>
  </xdr:twoCellAnchor>
  <xdr:twoCellAnchor editAs="oneCell">
    <xdr:from>
      <xdr:col>4</xdr:col>
      <xdr:colOff>27000</xdr:colOff>
      <xdr:row>18</xdr:row>
      <xdr:rowOff>128160</xdr:rowOff>
    </xdr:from>
    <xdr:to>
      <xdr:col>4</xdr:col>
      <xdr:colOff>178920</xdr:colOff>
      <xdr:row>20</xdr:row>
      <xdr:rowOff>123120</xdr:rowOff>
    </xdr:to>
    <xdr:sp>
      <xdr:nvSpPr>
        <xdr:cNvPr id="110" name="CustomShape 1"/>
        <xdr:cNvSpPr/>
      </xdr:nvSpPr>
      <xdr:spPr>
        <a:xfrm>
          <a:off x="1625760" y="3465720"/>
          <a:ext cx="151920" cy="34992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240480</xdr:colOff>
      <xdr:row>55</xdr:row>
      <xdr:rowOff>192240</xdr:rowOff>
    </xdr:from>
    <xdr:to>
      <xdr:col>8</xdr:col>
      <xdr:colOff>598320</xdr:colOff>
      <xdr:row>73</xdr:row>
      <xdr:rowOff>65520</xdr:rowOff>
    </xdr:to>
    <xdr:sp>
      <xdr:nvSpPr>
        <xdr:cNvPr id="111" name="CustomShape 1"/>
        <xdr:cNvSpPr/>
      </xdr:nvSpPr>
      <xdr:spPr>
        <a:xfrm>
          <a:off x="906480" y="10018800"/>
          <a:ext cx="3681360" cy="305532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240480</xdr:colOff>
      <xdr:row>66</xdr:row>
      <xdr:rowOff>32400</xdr:rowOff>
    </xdr:from>
    <xdr:to>
      <xdr:col>8</xdr:col>
      <xdr:colOff>598320</xdr:colOff>
      <xdr:row>66</xdr:row>
      <xdr:rowOff>32760</xdr:rowOff>
    </xdr:to>
    <xdr:sp>
      <xdr:nvSpPr>
        <xdr:cNvPr id="112" name="CustomShape 1"/>
        <xdr:cNvSpPr/>
      </xdr:nvSpPr>
      <xdr:spPr>
        <a:xfrm>
          <a:off x="906480" y="11809440"/>
          <a:ext cx="3681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238320</xdr:colOff>
      <xdr:row>59</xdr:row>
      <xdr:rowOff>108360</xdr:rowOff>
    </xdr:from>
    <xdr:to>
      <xdr:col>8</xdr:col>
      <xdr:colOff>605520</xdr:colOff>
      <xdr:row>59</xdr:row>
      <xdr:rowOff>109800</xdr:rowOff>
    </xdr:to>
    <xdr:sp>
      <xdr:nvSpPr>
        <xdr:cNvPr id="113" name="CustomShape 1"/>
        <xdr:cNvSpPr/>
      </xdr:nvSpPr>
      <xdr:spPr>
        <a:xfrm flipV="1">
          <a:off x="904320" y="10658880"/>
          <a:ext cx="369072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461520</xdr:colOff>
      <xdr:row>82</xdr:row>
      <xdr:rowOff>142200</xdr:rowOff>
    </xdr:from>
    <xdr:to>
      <xdr:col>25</xdr:col>
      <xdr:colOff>438480</xdr:colOff>
      <xdr:row>108</xdr:row>
      <xdr:rowOff>141840</xdr:rowOff>
    </xdr:to>
    <xdr:sp>
      <xdr:nvSpPr>
        <xdr:cNvPr id="114" name="CustomShape 1"/>
        <xdr:cNvSpPr/>
      </xdr:nvSpPr>
      <xdr:spPr>
        <a:xfrm>
          <a:off x="7107120" y="14727960"/>
          <a:ext cx="7439760" cy="457164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461520</xdr:colOff>
      <xdr:row>86</xdr:row>
      <xdr:rowOff>20160</xdr:rowOff>
    </xdr:from>
    <xdr:to>
      <xdr:col>25</xdr:col>
      <xdr:colOff>438480</xdr:colOff>
      <xdr:row>86</xdr:row>
      <xdr:rowOff>23760</xdr:rowOff>
    </xdr:to>
    <xdr:sp>
      <xdr:nvSpPr>
        <xdr:cNvPr id="115" name="CustomShape 1"/>
        <xdr:cNvSpPr/>
      </xdr:nvSpPr>
      <xdr:spPr>
        <a:xfrm flipV="1">
          <a:off x="7107120" y="15314760"/>
          <a:ext cx="743976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667080</xdr:colOff>
      <xdr:row>7</xdr:row>
      <xdr:rowOff>113040</xdr:rowOff>
    </xdr:from>
    <xdr:to>
      <xdr:col>21</xdr:col>
      <xdr:colOff>133200</xdr:colOff>
      <xdr:row>12</xdr:row>
      <xdr:rowOff>36360</xdr:rowOff>
    </xdr:to>
    <xdr:sp>
      <xdr:nvSpPr>
        <xdr:cNvPr id="116" name="CustomShape 1"/>
        <xdr:cNvSpPr/>
      </xdr:nvSpPr>
      <xdr:spPr>
        <a:xfrm>
          <a:off x="8597880" y="1522440"/>
          <a:ext cx="3283200" cy="79992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457560</xdr:colOff>
      <xdr:row>57</xdr:row>
      <xdr:rowOff>154440</xdr:rowOff>
    </xdr:from>
    <xdr:to>
      <xdr:col>14</xdr:col>
      <xdr:colOff>2160</xdr:colOff>
      <xdr:row>75</xdr:row>
      <xdr:rowOff>156960</xdr:rowOff>
    </xdr:to>
    <xdr:sp>
      <xdr:nvSpPr>
        <xdr:cNvPr id="117" name="CustomShape 1"/>
        <xdr:cNvSpPr/>
      </xdr:nvSpPr>
      <xdr:spPr>
        <a:xfrm>
          <a:off x="7628400" y="10354320"/>
          <a:ext cx="304560" cy="3161520"/>
        </a:xfrm>
        <a:prstGeom prst="trapezoid">
          <a:avLst>
            <a:gd name="adj" fmla="val 27000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77040</xdr:colOff>
      <xdr:row>58</xdr:row>
      <xdr:rowOff>160920</xdr:rowOff>
    </xdr:from>
    <xdr:to>
      <xdr:col>13</xdr:col>
      <xdr:colOff>447480</xdr:colOff>
      <xdr:row>58</xdr:row>
      <xdr:rowOff>161280</xdr:rowOff>
    </xdr:to>
    <xdr:sp>
      <xdr:nvSpPr>
        <xdr:cNvPr id="118" name="CustomShape 1"/>
        <xdr:cNvSpPr/>
      </xdr:nvSpPr>
      <xdr:spPr>
        <a:xfrm>
          <a:off x="6722640" y="10536120"/>
          <a:ext cx="89568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51840</xdr:colOff>
      <xdr:row>58</xdr:row>
      <xdr:rowOff>26280</xdr:rowOff>
    </xdr:from>
    <xdr:to>
      <xdr:col>12</xdr:col>
      <xdr:colOff>60120</xdr:colOff>
      <xdr:row>59</xdr:row>
      <xdr:rowOff>111600</xdr:rowOff>
    </xdr:to>
    <xdr:sp>
      <xdr:nvSpPr>
        <xdr:cNvPr id="119" name="CustomShape 1"/>
        <xdr:cNvSpPr/>
      </xdr:nvSpPr>
      <xdr:spPr>
        <a:xfrm>
          <a:off x="6211800" y="10401480"/>
          <a:ext cx="4939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</a:t>
          </a:r>
          <a:endParaRPr/>
        </a:p>
      </xdr:txBody>
    </xdr:sp>
    <xdr:clientData/>
  </xdr:twoCellAnchor>
  <xdr:twoCellAnchor editAs="oneCell">
    <xdr:from>
      <xdr:col>12</xdr:col>
      <xdr:colOff>115560</xdr:colOff>
      <xdr:row>60</xdr:row>
      <xdr:rowOff>159480</xdr:rowOff>
    </xdr:from>
    <xdr:to>
      <xdr:col>13</xdr:col>
      <xdr:colOff>445680</xdr:colOff>
      <xdr:row>60</xdr:row>
      <xdr:rowOff>159840</xdr:rowOff>
    </xdr:to>
    <xdr:sp>
      <xdr:nvSpPr>
        <xdr:cNvPr id="120" name="CustomShape 1"/>
        <xdr:cNvSpPr/>
      </xdr:nvSpPr>
      <xdr:spPr>
        <a:xfrm>
          <a:off x="6761160" y="10884960"/>
          <a:ext cx="855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595440</xdr:colOff>
      <xdr:row>60</xdr:row>
      <xdr:rowOff>24840</xdr:rowOff>
    </xdr:from>
    <xdr:to>
      <xdr:col>12</xdr:col>
      <xdr:colOff>54000</xdr:colOff>
      <xdr:row>61</xdr:row>
      <xdr:rowOff>110160</xdr:rowOff>
    </xdr:to>
    <xdr:sp>
      <xdr:nvSpPr>
        <xdr:cNvPr id="121" name="CustomShape 1"/>
        <xdr:cNvSpPr/>
      </xdr:nvSpPr>
      <xdr:spPr>
        <a:xfrm>
          <a:off x="5344920" y="10750320"/>
          <a:ext cx="13546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System PLL Out</a:t>
          </a:r>
          <a:endParaRPr/>
        </a:p>
      </xdr:txBody>
    </xdr:sp>
    <xdr:clientData/>
  </xdr:twoCellAnchor>
  <xdr:twoCellAnchor editAs="oneCell">
    <xdr:from>
      <xdr:col>12</xdr:col>
      <xdr:colOff>137160</xdr:colOff>
      <xdr:row>62</xdr:row>
      <xdr:rowOff>159480</xdr:rowOff>
    </xdr:from>
    <xdr:to>
      <xdr:col>13</xdr:col>
      <xdr:colOff>447840</xdr:colOff>
      <xdr:row>62</xdr:row>
      <xdr:rowOff>161640</xdr:rowOff>
    </xdr:to>
    <xdr:sp>
      <xdr:nvSpPr>
        <xdr:cNvPr id="122" name="CustomShape 1"/>
        <xdr:cNvSpPr/>
      </xdr:nvSpPr>
      <xdr:spPr>
        <a:xfrm>
          <a:off x="6782760" y="11235600"/>
          <a:ext cx="83592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731520</xdr:colOff>
      <xdr:row>62</xdr:row>
      <xdr:rowOff>24840</xdr:rowOff>
    </xdr:from>
    <xdr:to>
      <xdr:col>12</xdr:col>
      <xdr:colOff>98640</xdr:colOff>
      <xdr:row>63</xdr:row>
      <xdr:rowOff>110160</xdr:rowOff>
    </xdr:to>
    <xdr:sp>
      <xdr:nvSpPr>
        <xdr:cNvPr id="123" name="CustomShape 1"/>
        <xdr:cNvSpPr/>
      </xdr:nvSpPr>
      <xdr:spPr>
        <a:xfrm>
          <a:off x="6131520" y="1110096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12</xdr:col>
      <xdr:colOff>128520</xdr:colOff>
      <xdr:row>66</xdr:row>
      <xdr:rowOff>159480</xdr:rowOff>
    </xdr:from>
    <xdr:to>
      <xdr:col>13</xdr:col>
      <xdr:colOff>443880</xdr:colOff>
      <xdr:row>66</xdr:row>
      <xdr:rowOff>163440</xdr:rowOff>
    </xdr:to>
    <xdr:sp>
      <xdr:nvSpPr>
        <xdr:cNvPr id="124" name="CustomShape 1"/>
        <xdr:cNvSpPr/>
      </xdr:nvSpPr>
      <xdr:spPr>
        <a:xfrm>
          <a:off x="6774120" y="11936520"/>
          <a:ext cx="8406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740160</xdr:colOff>
      <xdr:row>66</xdr:row>
      <xdr:rowOff>24840</xdr:rowOff>
    </xdr:from>
    <xdr:to>
      <xdr:col>12</xdr:col>
      <xdr:colOff>90360</xdr:colOff>
      <xdr:row>67</xdr:row>
      <xdr:rowOff>110160</xdr:rowOff>
    </xdr:to>
    <xdr:sp>
      <xdr:nvSpPr>
        <xdr:cNvPr id="125" name="CustomShape 1"/>
        <xdr:cNvSpPr/>
      </xdr:nvSpPr>
      <xdr:spPr>
        <a:xfrm>
          <a:off x="6140160" y="1180188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12</xdr:col>
      <xdr:colOff>137160</xdr:colOff>
      <xdr:row>68</xdr:row>
      <xdr:rowOff>153360</xdr:rowOff>
    </xdr:from>
    <xdr:to>
      <xdr:col>13</xdr:col>
      <xdr:colOff>443880</xdr:colOff>
      <xdr:row>68</xdr:row>
      <xdr:rowOff>157320</xdr:rowOff>
    </xdr:to>
    <xdr:sp>
      <xdr:nvSpPr>
        <xdr:cNvPr id="126" name="CustomShape 1"/>
        <xdr:cNvSpPr/>
      </xdr:nvSpPr>
      <xdr:spPr>
        <a:xfrm>
          <a:off x="6782760" y="12285360"/>
          <a:ext cx="83196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731520</xdr:colOff>
      <xdr:row>68</xdr:row>
      <xdr:rowOff>18720</xdr:rowOff>
    </xdr:from>
    <xdr:to>
      <xdr:col>12</xdr:col>
      <xdr:colOff>98640</xdr:colOff>
      <xdr:row>69</xdr:row>
      <xdr:rowOff>104040</xdr:rowOff>
    </xdr:to>
    <xdr:sp>
      <xdr:nvSpPr>
        <xdr:cNvPr id="127" name="CustomShape 1"/>
        <xdr:cNvSpPr/>
      </xdr:nvSpPr>
      <xdr:spPr>
        <a:xfrm>
          <a:off x="6131520" y="1215072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14</xdr:col>
      <xdr:colOff>2520</xdr:colOff>
      <xdr:row>67</xdr:row>
      <xdr:rowOff>79200</xdr:rowOff>
    </xdr:from>
    <xdr:to>
      <xdr:col>19</xdr:col>
      <xdr:colOff>253440</xdr:colOff>
      <xdr:row>67</xdr:row>
      <xdr:rowOff>81000</xdr:rowOff>
    </xdr:to>
    <xdr:sp>
      <xdr:nvSpPr>
        <xdr:cNvPr id="128" name="CustomShape 1"/>
        <xdr:cNvSpPr/>
      </xdr:nvSpPr>
      <xdr:spPr>
        <a:xfrm flipV="1">
          <a:off x="7933320" y="12031560"/>
          <a:ext cx="3080520" cy="18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617400</xdr:colOff>
      <xdr:row>75</xdr:row>
      <xdr:rowOff>69840</xdr:rowOff>
    </xdr:from>
    <xdr:to>
      <xdr:col>13</xdr:col>
      <xdr:colOff>617760</xdr:colOff>
      <xdr:row>77</xdr:row>
      <xdr:rowOff>145440</xdr:rowOff>
    </xdr:to>
    <xdr:sp>
      <xdr:nvSpPr>
        <xdr:cNvPr id="129" name="CustomShape 1"/>
        <xdr:cNvSpPr/>
      </xdr:nvSpPr>
      <xdr:spPr>
        <a:xfrm flipV="1">
          <a:off x="7788240" y="13428720"/>
          <a:ext cx="360" cy="4262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132480</xdr:colOff>
      <xdr:row>64</xdr:row>
      <xdr:rowOff>157320</xdr:rowOff>
    </xdr:from>
    <xdr:to>
      <xdr:col>13</xdr:col>
      <xdr:colOff>447480</xdr:colOff>
      <xdr:row>64</xdr:row>
      <xdr:rowOff>159480</xdr:rowOff>
    </xdr:to>
    <xdr:sp>
      <xdr:nvSpPr>
        <xdr:cNvPr id="130" name="CustomShape 1"/>
        <xdr:cNvSpPr/>
      </xdr:nvSpPr>
      <xdr:spPr>
        <a:xfrm>
          <a:off x="6778080" y="11584080"/>
          <a:ext cx="84024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226800</xdr:colOff>
      <xdr:row>70</xdr:row>
      <xdr:rowOff>160560</xdr:rowOff>
    </xdr:from>
    <xdr:to>
      <xdr:col>13</xdr:col>
      <xdr:colOff>447840</xdr:colOff>
      <xdr:row>70</xdr:row>
      <xdr:rowOff>162720</xdr:rowOff>
    </xdr:to>
    <xdr:sp>
      <xdr:nvSpPr>
        <xdr:cNvPr id="131" name="CustomShape 1"/>
        <xdr:cNvSpPr/>
      </xdr:nvSpPr>
      <xdr:spPr>
        <a:xfrm>
          <a:off x="6872400" y="12643200"/>
          <a:ext cx="74628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727920</xdr:colOff>
      <xdr:row>70</xdr:row>
      <xdr:rowOff>25920</xdr:rowOff>
    </xdr:from>
    <xdr:to>
      <xdr:col>12</xdr:col>
      <xdr:colOff>187920</xdr:colOff>
      <xdr:row>71</xdr:row>
      <xdr:rowOff>111240</xdr:rowOff>
    </xdr:to>
    <xdr:sp>
      <xdr:nvSpPr>
        <xdr:cNvPr id="132" name="CustomShape 1"/>
        <xdr:cNvSpPr/>
      </xdr:nvSpPr>
      <xdr:spPr>
        <a:xfrm>
          <a:off x="6127920" y="12508560"/>
          <a:ext cx="705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</a:t>
          </a:r>
          <a:endParaRPr/>
        </a:p>
      </xdr:txBody>
    </xdr:sp>
    <xdr:clientData/>
  </xdr:twoCellAnchor>
  <xdr:twoCellAnchor editAs="oneCell">
    <xdr:from>
      <xdr:col>12</xdr:col>
      <xdr:colOff>231120</xdr:colOff>
      <xdr:row>72</xdr:row>
      <xdr:rowOff>162360</xdr:rowOff>
    </xdr:from>
    <xdr:to>
      <xdr:col>13</xdr:col>
      <xdr:colOff>443880</xdr:colOff>
      <xdr:row>72</xdr:row>
      <xdr:rowOff>166320</xdr:rowOff>
    </xdr:to>
    <xdr:sp>
      <xdr:nvSpPr>
        <xdr:cNvPr id="133" name="CustomShape 1"/>
        <xdr:cNvSpPr/>
      </xdr:nvSpPr>
      <xdr:spPr>
        <a:xfrm>
          <a:off x="6876720" y="12995640"/>
          <a:ext cx="7380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638280</xdr:colOff>
      <xdr:row>72</xdr:row>
      <xdr:rowOff>27720</xdr:rowOff>
    </xdr:from>
    <xdr:to>
      <xdr:col>12</xdr:col>
      <xdr:colOff>191520</xdr:colOff>
      <xdr:row>73</xdr:row>
      <xdr:rowOff>113040</xdr:rowOff>
    </xdr:to>
    <xdr:sp>
      <xdr:nvSpPr>
        <xdr:cNvPr id="134" name="CustomShape 1"/>
        <xdr:cNvSpPr/>
      </xdr:nvSpPr>
      <xdr:spPr>
        <a:xfrm>
          <a:off x="6038280" y="12861000"/>
          <a:ext cx="7988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SYSCLK</a:t>
          </a:r>
          <a:endParaRPr/>
        </a:p>
      </xdr:txBody>
    </xdr:sp>
    <xdr:clientData/>
  </xdr:twoCellAnchor>
  <xdr:twoCellAnchor editAs="oneCell">
    <xdr:from>
      <xdr:col>12</xdr:col>
      <xdr:colOff>200520</xdr:colOff>
      <xdr:row>74</xdr:row>
      <xdr:rowOff>167040</xdr:rowOff>
    </xdr:from>
    <xdr:to>
      <xdr:col>13</xdr:col>
      <xdr:colOff>446040</xdr:colOff>
      <xdr:row>74</xdr:row>
      <xdr:rowOff>172440</xdr:rowOff>
    </xdr:to>
    <xdr:sp>
      <xdr:nvSpPr>
        <xdr:cNvPr id="135" name="CustomShape 1"/>
        <xdr:cNvSpPr/>
      </xdr:nvSpPr>
      <xdr:spPr>
        <a:xfrm>
          <a:off x="6846120" y="13350600"/>
          <a:ext cx="770760" cy="54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426960</xdr:colOff>
      <xdr:row>74</xdr:row>
      <xdr:rowOff>33840</xdr:rowOff>
    </xdr:from>
    <xdr:to>
      <xdr:col>12</xdr:col>
      <xdr:colOff>22320</xdr:colOff>
      <xdr:row>75</xdr:row>
      <xdr:rowOff>119160</xdr:rowOff>
    </xdr:to>
    <xdr:sp>
      <xdr:nvSpPr>
        <xdr:cNvPr id="136" name="CustomShape 1"/>
        <xdr:cNvSpPr/>
      </xdr:nvSpPr>
      <xdr:spPr>
        <a:xfrm>
          <a:off x="5826960" y="13217400"/>
          <a:ext cx="84096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REFCLKI</a:t>
          </a:r>
          <a:endParaRPr/>
        </a:p>
      </xdr:txBody>
    </xdr:sp>
    <xdr:clientData/>
  </xdr:twoCellAnchor>
  <xdr:twoCellAnchor editAs="absolute">
    <xdr:from>
      <xdr:col>12</xdr:col>
      <xdr:colOff>55440</xdr:colOff>
      <xdr:row>74</xdr:row>
      <xdr:rowOff>94320</xdr:rowOff>
    </xdr:from>
    <xdr:to>
      <xdr:col>12</xdr:col>
      <xdr:colOff>199800</xdr:colOff>
      <xdr:row>75</xdr:row>
      <xdr:rowOff>63720</xdr:rowOff>
    </xdr:to>
    <xdr:sp>
      <xdr:nvSpPr>
        <xdr:cNvPr id="137" name="CustomShape 1"/>
        <xdr:cNvSpPr/>
      </xdr:nvSpPr>
      <xdr:spPr>
        <a:xfrm>
          <a:off x="6701040" y="1327788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12</xdr:col>
      <xdr:colOff>49680</xdr:colOff>
      <xdr:row>74</xdr:row>
      <xdr:rowOff>88920</xdr:rowOff>
    </xdr:from>
    <xdr:to>
      <xdr:col>12</xdr:col>
      <xdr:colOff>198360</xdr:colOff>
      <xdr:row>75</xdr:row>
      <xdr:rowOff>65880</xdr:rowOff>
    </xdr:to>
    <xdr:sp>
      <xdr:nvSpPr>
        <xdr:cNvPr id="138" name="Line 1"/>
        <xdr:cNvSpPr/>
      </xdr:nvSpPr>
      <xdr:spPr>
        <a:xfrm flipV="1">
          <a:off x="6695280" y="1327248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12</xdr:col>
      <xdr:colOff>55440</xdr:colOff>
      <xdr:row>74</xdr:row>
      <xdr:rowOff>97920</xdr:rowOff>
    </xdr:from>
    <xdr:to>
      <xdr:col>12</xdr:col>
      <xdr:colOff>205920</xdr:colOff>
      <xdr:row>75</xdr:row>
      <xdr:rowOff>64080</xdr:rowOff>
    </xdr:to>
    <xdr:sp>
      <xdr:nvSpPr>
        <xdr:cNvPr id="139" name="Line 1"/>
        <xdr:cNvSpPr/>
      </xdr:nvSpPr>
      <xdr:spPr>
        <a:xfrm flipH="1" flipV="1">
          <a:off x="6701040" y="1328148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9</xdr:col>
      <xdr:colOff>278640</xdr:colOff>
      <xdr:row>76</xdr:row>
      <xdr:rowOff>119160</xdr:rowOff>
    </xdr:from>
    <xdr:to>
      <xdr:col>11</xdr:col>
      <xdr:colOff>315720</xdr:colOff>
      <xdr:row>79</xdr:row>
      <xdr:rowOff>73080</xdr:rowOff>
    </xdr:to>
    <xdr:sp>
      <xdr:nvSpPr>
        <xdr:cNvPr id="140" name="CustomShape 1"/>
        <xdr:cNvSpPr/>
      </xdr:nvSpPr>
      <xdr:spPr>
        <a:xfrm>
          <a:off x="5028120" y="13653360"/>
          <a:ext cx="144756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Enter external clock frequency</a:t>
          </a:r>
          <a:endParaRPr/>
        </a:p>
      </xdr:txBody>
    </xdr:sp>
    <xdr:clientData/>
  </xdr:twoCellAnchor>
  <xdr:twoCellAnchor editAs="oneCell">
    <xdr:from>
      <xdr:col>11</xdr:col>
      <xdr:colOff>370080</xdr:colOff>
      <xdr:row>75</xdr:row>
      <xdr:rowOff>80640</xdr:rowOff>
    </xdr:from>
    <xdr:to>
      <xdr:col>12</xdr:col>
      <xdr:colOff>293400</xdr:colOff>
      <xdr:row>77</xdr:row>
      <xdr:rowOff>49320</xdr:rowOff>
    </xdr:to>
    <xdr:sp>
      <xdr:nvSpPr>
        <xdr:cNvPr id="141" name="CustomShape 1"/>
        <xdr:cNvSpPr/>
      </xdr:nvSpPr>
      <xdr:spPr>
        <a:xfrm flipV="1">
          <a:off x="6530040" y="13439520"/>
          <a:ext cx="408960" cy="31932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19</xdr:col>
      <xdr:colOff>253800</xdr:colOff>
      <xdr:row>67</xdr:row>
      <xdr:rowOff>7200</xdr:rowOff>
    </xdr:from>
    <xdr:to>
      <xdr:col>19</xdr:col>
      <xdr:colOff>398160</xdr:colOff>
      <xdr:row>67</xdr:row>
      <xdr:rowOff>151920</xdr:rowOff>
    </xdr:to>
    <xdr:sp>
      <xdr:nvSpPr>
        <xdr:cNvPr id="142" name="CustomShape 1"/>
        <xdr:cNvSpPr/>
      </xdr:nvSpPr>
      <xdr:spPr>
        <a:xfrm>
          <a:off x="11014200" y="1195956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19</xdr:col>
      <xdr:colOff>247680</xdr:colOff>
      <xdr:row>67</xdr:row>
      <xdr:rowOff>1800</xdr:rowOff>
    </xdr:from>
    <xdr:to>
      <xdr:col>19</xdr:col>
      <xdr:colOff>396360</xdr:colOff>
      <xdr:row>67</xdr:row>
      <xdr:rowOff>154080</xdr:rowOff>
    </xdr:to>
    <xdr:sp>
      <xdr:nvSpPr>
        <xdr:cNvPr id="143" name="Line 1"/>
        <xdr:cNvSpPr/>
      </xdr:nvSpPr>
      <xdr:spPr>
        <a:xfrm flipV="1">
          <a:off x="11008080" y="1195416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19</xdr:col>
      <xdr:colOff>253440</xdr:colOff>
      <xdr:row>67</xdr:row>
      <xdr:rowOff>10800</xdr:rowOff>
    </xdr:from>
    <xdr:to>
      <xdr:col>19</xdr:col>
      <xdr:colOff>403920</xdr:colOff>
      <xdr:row>67</xdr:row>
      <xdr:rowOff>152280</xdr:rowOff>
    </xdr:to>
    <xdr:sp>
      <xdr:nvSpPr>
        <xdr:cNvPr id="144" name="Line 1"/>
        <xdr:cNvSpPr/>
      </xdr:nvSpPr>
      <xdr:spPr>
        <a:xfrm flipH="1" flipV="1">
          <a:off x="11013840" y="1196316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19</xdr:col>
      <xdr:colOff>417600</xdr:colOff>
      <xdr:row>66</xdr:row>
      <xdr:rowOff>116280</xdr:rowOff>
    </xdr:from>
    <xdr:to>
      <xdr:col>21</xdr:col>
      <xdr:colOff>478440</xdr:colOff>
      <xdr:row>68</xdr:row>
      <xdr:rowOff>21960</xdr:rowOff>
    </xdr:to>
    <xdr:sp>
      <xdr:nvSpPr>
        <xdr:cNvPr id="145" name="CustomShape 1"/>
        <xdr:cNvSpPr/>
      </xdr:nvSpPr>
      <xdr:spPr>
        <a:xfrm>
          <a:off x="11178000" y="11893320"/>
          <a:ext cx="10483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REFCLKO =</a:t>
          </a:r>
          <a:endParaRPr/>
        </a:p>
      </xdr:txBody>
    </xdr:sp>
    <xdr:clientData/>
  </xdr:twoCellAnchor>
  <xdr:twoCellAnchor editAs="oneCell">
    <xdr:from>
      <xdr:col>19</xdr:col>
      <xdr:colOff>50040</xdr:colOff>
      <xdr:row>65</xdr:row>
      <xdr:rowOff>55080</xdr:rowOff>
    </xdr:from>
    <xdr:to>
      <xdr:col>19</xdr:col>
      <xdr:colOff>56520</xdr:colOff>
      <xdr:row>67</xdr:row>
      <xdr:rowOff>62640</xdr:rowOff>
    </xdr:to>
    <xdr:sp>
      <xdr:nvSpPr>
        <xdr:cNvPr id="146" name="CustomShape 1"/>
        <xdr:cNvSpPr/>
      </xdr:nvSpPr>
      <xdr:spPr>
        <a:xfrm flipH="1">
          <a:off x="10810440" y="11657160"/>
          <a:ext cx="6480" cy="3578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116640</xdr:colOff>
      <xdr:row>62</xdr:row>
      <xdr:rowOff>9720</xdr:rowOff>
    </xdr:from>
    <xdr:to>
      <xdr:col>19</xdr:col>
      <xdr:colOff>392400</xdr:colOff>
      <xdr:row>65</xdr:row>
      <xdr:rowOff>54720</xdr:rowOff>
    </xdr:to>
    <xdr:sp>
      <xdr:nvSpPr>
        <xdr:cNvPr id="147" name="CustomShape 1"/>
        <xdr:cNvSpPr/>
      </xdr:nvSpPr>
      <xdr:spPr>
        <a:xfrm>
          <a:off x="10469520" y="11085840"/>
          <a:ext cx="683280" cy="57096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REFCLK Out Enable</a:t>
          </a:r>
          <a:endParaRPr/>
        </a:p>
      </xdr:txBody>
    </xdr:sp>
    <xdr:clientData/>
  </xdr:twoCellAnchor>
  <xdr:twoCellAnchor editAs="oneCell">
    <xdr:from>
      <xdr:col>15</xdr:col>
      <xdr:colOff>87840</xdr:colOff>
      <xdr:row>66</xdr:row>
      <xdr:rowOff>108720</xdr:rowOff>
    </xdr:from>
    <xdr:to>
      <xdr:col>16</xdr:col>
      <xdr:colOff>376920</xdr:colOff>
      <xdr:row>68</xdr:row>
      <xdr:rowOff>119160</xdr:rowOff>
    </xdr:to>
    <xdr:sp>
      <xdr:nvSpPr>
        <xdr:cNvPr id="148" name="CustomShape 1"/>
        <xdr:cNvSpPr/>
      </xdr:nvSpPr>
      <xdr:spPr>
        <a:xfrm>
          <a:off x="8700840" y="11885760"/>
          <a:ext cx="69660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REFCLK Divider</a:t>
          </a:r>
          <a:endParaRPr/>
        </a:p>
      </xdr:txBody>
    </xdr:sp>
    <xdr:clientData/>
  </xdr:twoCellAnchor>
  <xdr:twoCellAnchor editAs="oneCell">
    <xdr:from>
      <xdr:col>14</xdr:col>
      <xdr:colOff>529920</xdr:colOff>
      <xdr:row>58</xdr:row>
      <xdr:rowOff>131040</xdr:rowOff>
    </xdr:from>
    <xdr:to>
      <xdr:col>18</xdr:col>
      <xdr:colOff>263880</xdr:colOff>
      <xdr:row>61</xdr:row>
      <xdr:rowOff>47160</xdr:rowOff>
    </xdr:to>
    <xdr:sp>
      <xdr:nvSpPr>
        <xdr:cNvPr id="149" name="CustomShape 1"/>
        <xdr:cNvSpPr/>
      </xdr:nvSpPr>
      <xdr:spPr>
        <a:xfrm>
          <a:off x="8460720" y="10506240"/>
          <a:ext cx="2156040" cy="44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Enter:  trimValue (0 to 511)</a:t>
          </a:r>
          <a:endParaRPr/>
        </a:p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            </a:t>
          </a:r>
          <a:r>
            <a:rPr b="1" lang="de-DE" sz="1100" strike="noStrike">
              <a:solidFill>
                <a:srgbClr val="000000"/>
              </a:solidFill>
              <a:latin typeface="Arial"/>
            </a:rPr>
            <a:t>refOscDiv (0 to 32767)</a:t>
          </a:r>
          <a:endParaRPr/>
        </a:p>
      </xdr:txBody>
    </xdr:sp>
    <xdr:clientData/>
  </xdr:twoCellAnchor>
  <xdr:twoCellAnchor editAs="oneCell">
    <xdr:from>
      <xdr:col>16</xdr:col>
      <xdr:colOff>392040</xdr:colOff>
      <xdr:row>61</xdr:row>
      <xdr:rowOff>47520</xdr:rowOff>
    </xdr:from>
    <xdr:to>
      <xdr:col>16</xdr:col>
      <xdr:colOff>547920</xdr:colOff>
      <xdr:row>63</xdr:row>
      <xdr:rowOff>100440</xdr:rowOff>
    </xdr:to>
    <xdr:sp>
      <xdr:nvSpPr>
        <xdr:cNvPr id="150" name="CustomShape 1"/>
        <xdr:cNvSpPr/>
      </xdr:nvSpPr>
      <xdr:spPr>
        <a:xfrm flipH="1">
          <a:off x="9412560" y="10948320"/>
          <a:ext cx="155880" cy="4035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20</xdr:col>
      <xdr:colOff>225000</xdr:colOff>
      <xdr:row>59</xdr:row>
      <xdr:rowOff>85320</xdr:rowOff>
    </xdr:from>
    <xdr:to>
      <xdr:col>25</xdr:col>
      <xdr:colOff>170640</xdr:colOff>
      <xdr:row>63</xdr:row>
      <xdr:rowOff>146160</xdr:rowOff>
    </xdr:to>
    <xdr:sp>
      <xdr:nvSpPr>
        <xdr:cNvPr id="151" name="CustomShape 1"/>
        <xdr:cNvSpPr/>
      </xdr:nvSpPr>
      <xdr:spPr>
        <a:xfrm>
          <a:off x="11494800" y="10635840"/>
          <a:ext cx="2784240" cy="761760"/>
        </a:xfrm>
        <a:prstGeom prst="rect">
          <a:avLst/>
        </a:prstGeom>
        <a:solidFill>
          <a:schemeClr val="bg1"/>
        </a:solidFill>
        <a:ln w="1260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20</xdr:col>
      <xdr:colOff>293040</xdr:colOff>
      <xdr:row>60</xdr:row>
      <xdr:rowOff>70560</xdr:rowOff>
    </xdr:from>
    <xdr:to>
      <xdr:col>22</xdr:col>
      <xdr:colOff>158760</xdr:colOff>
      <xdr:row>62</xdr:row>
      <xdr:rowOff>3960</xdr:rowOff>
    </xdr:to>
    <xdr:sp>
      <xdr:nvSpPr>
        <xdr:cNvPr id="152" name="CustomShape 1"/>
        <xdr:cNvSpPr/>
      </xdr:nvSpPr>
      <xdr:spPr>
        <a:xfrm>
          <a:off x="11562840" y="10796040"/>
          <a:ext cx="821880" cy="284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200" strike="noStrike" baseline="-25000">
              <a:solidFill>
                <a:srgbClr val="000000"/>
              </a:solidFill>
              <a:latin typeface="Arial"/>
            </a:rPr>
            <a:t>REFCLKO</a:t>
          </a:r>
          <a:r>
            <a:rPr lang="de-DE" sz="1200" strike="noStrike">
              <a:solidFill>
                <a:srgbClr val="000000"/>
              </a:solidFill>
              <a:latin typeface="Arial"/>
            </a:rPr>
            <a:t> =</a:t>
          </a:r>
          <a:endParaRPr/>
        </a:p>
      </xdr:txBody>
    </xdr:sp>
    <xdr:clientData/>
  </xdr:twoCellAnchor>
  <xdr:twoCellAnchor editAs="absolute">
    <xdr:from>
      <xdr:col>23</xdr:col>
      <xdr:colOff>122040</xdr:colOff>
      <xdr:row>59</xdr:row>
      <xdr:rowOff>85320</xdr:rowOff>
    </xdr:from>
    <xdr:to>
      <xdr:col>24</xdr:col>
      <xdr:colOff>33120</xdr:colOff>
      <xdr:row>61</xdr:row>
      <xdr:rowOff>19080</xdr:rowOff>
    </xdr:to>
    <xdr:sp>
      <xdr:nvSpPr>
        <xdr:cNvPr id="153" name="CustomShape 1"/>
        <xdr:cNvSpPr/>
      </xdr:nvSpPr>
      <xdr:spPr>
        <a:xfrm>
          <a:off x="12975480" y="10635840"/>
          <a:ext cx="538560" cy="284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200" strike="noStrike" baseline="-25000">
              <a:solidFill>
                <a:srgbClr val="000000"/>
              </a:solidFill>
              <a:latin typeface="Arial"/>
            </a:rPr>
            <a:t>REFIN</a:t>
          </a:r>
          <a:endParaRPr/>
        </a:p>
      </xdr:txBody>
    </xdr:sp>
    <xdr:clientData/>
  </xdr:twoCellAnchor>
  <xdr:twoCellAnchor editAs="absolute">
    <xdr:from>
      <xdr:col>22</xdr:col>
      <xdr:colOff>6480</xdr:colOff>
      <xdr:row>61</xdr:row>
      <xdr:rowOff>123840</xdr:rowOff>
    </xdr:from>
    <xdr:to>
      <xdr:col>23</xdr:col>
      <xdr:colOff>571680</xdr:colOff>
      <xdr:row>63</xdr:row>
      <xdr:rowOff>33840</xdr:rowOff>
    </xdr:to>
    <xdr:sp>
      <xdr:nvSpPr>
        <xdr:cNvPr id="154" name="CustomShape 1"/>
        <xdr:cNvSpPr/>
      </xdr:nvSpPr>
      <xdr:spPr>
        <a:xfrm>
          <a:off x="12232440" y="11024640"/>
          <a:ext cx="11926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2   refOscDiv +</a:t>
          </a:r>
          <a:endParaRPr/>
        </a:p>
      </xdr:txBody>
    </xdr:sp>
    <xdr:clientData/>
  </xdr:twoCellAnchor>
  <xdr:twoCellAnchor editAs="absolute">
    <xdr:from>
      <xdr:col>22</xdr:col>
      <xdr:colOff>137880</xdr:colOff>
      <xdr:row>60</xdr:row>
      <xdr:rowOff>146880</xdr:rowOff>
    </xdr:from>
    <xdr:to>
      <xdr:col>25</xdr:col>
      <xdr:colOff>155880</xdr:colOff>
      <xdr:row>63</xdr:row>
      <xdr:rowOff>108720</xdr:rowOff>
    </xdr:to>
    <xdr:sp>
      <xdr:nvSpPr>
        <xdr:cNvPr id="155" name="CustomShape 1"/>
        <xdr:cNvSpPr/>
      </xdr:nvSpPr>
      <xdr:spPr>
        <a:xfrm>
          <a:off x="12363840" y="10872360"/>
          <a:ext cx="1900440" cy="4878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2800" strike="noStrike">
              <a:solidFill>
                <a:srgbClr val="000000"/>
              </a:solidFill>
              <a:latin typeface="Arial"/>
            </a:rPr>
            <a:t>(               )</a:t>
          </a:r>
          <a:endParaRPr/>
        </a:p>
      </xdr:txBody>
    </xdr:sp>
    <xdr:clientData/>
  </xdr:twoCellAnchor>
  <xdr:twoCellAnchor editAs="absolute">
    <xdr:from>
      <xdr:col>22</xdr:col>
      <xdr:colOff>163080</xdr:colOff>
      <xdr:row>61</xdr:row>
      <xdr:rowOff>32400</xdr:rowOff>
    </xdr:from>
    <xdr:to>
      <xdr:col>25</xdr:col>
      <xdr:colOff>60840</xdr:colOff>
      <xdr:row>61</xdr:row>
      <xdr:rowOff>32760</xdr:rowOff>
    </xdr:to>
    <xdr:sp>
      <xdr:nvSpPr>
        <xdr:cNvPr id="156" name="CustomShape 1"/>
        <xdr:cNvSpPr/>
      </xdr:nvSpPr>
      <xdr:spPr>
        <a:xfrm>
          <a:off x="12389040" y="10933200"/>
          <a:ext cx="178020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23</xdr:col>
      <xdr:colOff>462240</xdr:colOff>
      <xdr:row>61</xdr:row>
      <xdr:rowOff>39960</xdr:rowOff>
    </xdr:from>
    <xdr:to>
      <xdr:col>25</xdr:col>
      <xdr:colOff>20160</xdr:colOff>
      <xdr:row>63</xdr:row>
      <xdr:rowOff>120240</xdr:rowOff>
    </xdr:to>
    <xdr:sp>
      <xdr:nvSpPr>
        <xdr:cNvPr id="157" name="CustomShape 1"/>
        <xdr:cNvSpPr/>
      </xdr:nvSpPr>
      <xdr:spPr>
        <a:xfrm>
          <a:off x="13315680" y="10940760"/>
          <a:ext cx="812880" cy="4309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trimValue</a:t>
          </a:r>
          <a:endParaRPr/>
        </a:p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512</a:t>
          </a:r>
          <a:endParaRPr/>
        </a:p>
      </xdr:txBody>
    </xdr:sp>
    <xdr:clientData/>
  </xdr:twoCellAnchor>
  <xdr:twoCellAnchor editAs="absolute">
    <xdr:from>
      <xdr:col>23</xdr:col>
      <xdr:colOff>524160</xdr:colOff>
      <xdr:row>62</xdr:row>
      <xdr:rowOff>85680</xdr:rowOff>
    </xdr:from>
    <xdr:to>
      <xdr:col>24</xdr:col>
      <xdr:colOff>578880</xdr:colOff>
      <xdr:row>62</xdr:row>
      <xdr:rowOff>86040</xdr:rowOff>
    </xdr:to>
    <xdr:sp>
      <xdr:nvSpPr>
        <xdr:cNvPr id="158" name="CustomShape 1"/>
        <xdr:cNvSpPr/>
      </xdr:nvSpPr>
      <xdr:spPr>
        <a:xfrm>
          <a:off x="13377600" y="11161800"/>
          <a:ext cx="68220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400320</xdr:colOff>
      <xdr:row>64</xdr:row>
      <xdr:rowOff>62640</xdr:rowOff>
    </xdr:from>
    <xdr:to>
      <xdr:col>22</xdr:col>
      <xdr:colOff>590400</xdr:colOff>
      <xdr:row>66</xdr:row>
      <xdr:rowOff>98640</xdr:rowOff>
    </xdr:to>
    <xdr:sp>
      <xdr:nvSpPr>
        <xdr:cNvPr id="159" name="CustomShape 1"/>
        <xdr:cNvSpPr/>
      </xdr:nvSpPr>
      <xdr:spPr>
        <a:xfrm flipH="1">
          <a:off x="12626280" y="11489400"/>
          <a:ext cx="190080" cy="3862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451080</xdr:colOff>
      <xdr:row>21</xdr:row>
      <xdr:rowOff>162000</xdr:rowOff>
    </xdr:from>
    <xdr:to>
      <xdr:col>5</xdr:col>
      <xdr:colOff>572400</xdr:colOff>
      <xdr:row>22</xdr:row>
      <xdr:rowOff>167400</xdr:rowOff>
    </xdr:to>
    <xdr:sp>
      <xdr:nvSpPr>
        <xdr:cNvPr id="160" name="CustomShape 1"/>
        <xdr:cNvSpPr/>
      </xdr:nvSpPr>
      <xdr:spPr>
        <a:xfrm>
          <a:off x="2457360" y="4029480"/>
          <a:ext cx="121320" cy="180720"/>
        </a:xfrm>
        <a:prstGeom prst="arc">
          <a:avLst>
            <a:gd name="adj1" fmla="val 10852083"/>
            <a:gd name="adj2" fmla="val 0"/>
          </a:avLst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572760</xdr:colOff>
      <xdr:row>21</xdr:row>
      <xdr:rowOff>159480</xdr:rowOff>
    </xdr:from>
    <xdr:to>
      <xdr:col>6</xdr:col>
      <xdr:colOff>90000</xdr:colOff>
      <xdr:row>22</xdr:row>
      <xdr:rowOff>163080</xdr:rowOff>
    </xdr:to>
    <xdr:sp>
      <xdr:nvSpPr>
        <xdr:cNvPr id="161" name="CustomShape 1"/>
        <xdr:cNvSpPr/>
      </xdr:nvSpPr>
      <xdr:spPr>
        <a:xfrm flipV="1">
          <a:off x="2579040" y="4026960"/>
          <a:ext cx="121320" cy="178920"/>
        </a:xfrm>
        <a:prstGeom prst="arc">
          <a:avLst>
            <a:gd name="adj1" fmla="val 10852083"/>
            <a:gd name="adj2" fmla="val 0"/>
          </a:avLst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429120</xdr:colOff>
      <xdr:row>22</xdr:row>
      <xdr:rowOff>79920</xdr:rowOff>
    </xdr:from>
    <xdr:to>
      <xdr:col>6</xdr:col>
      <xdr:colOff>112680</xdr:colOff>
      <xdr:row>22</xdr:row>
      <xdr:rowOff>80280</xdr:rowOff>
    </xdr:to>
    <xdr:sp>
      <xdr:nvSpPr>
        <xdr:cNvPr id="162" name="CustomShape 1"/>
        <xdr:cNvSpPr/>
      </xdr:nvSpPr>
      <xdr:spPr>
        <a:xfrm>
          <a:off x="2435400" y="4122720"/>
          <a:ext cx="287640" cy="360"/>
        </a:xfrm>
        <a:prstGeom prst="straightConnector1">
          <a:avLst/>
        </a:prstGeom>
        <a:noFill/>
        <a:ln w="3240">
          <a:solidFill>
            <a:schemeClr val="tx1"/>
          </a:solidFill>
          <a:custDash>
            <a:ds d="1500000" sp="1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440640</xdr:colOff>
      <xdr:row>20</xdr:row>
      <xdr:rowOff>173160</xdr:rowOff>
    </xdr:from>
    <xdr:to>
      <xdr:col>5</xdr:col>
      <xdr:colOff>442080</xdr:colOff>
      <xdr:row>21</xdr:row>
      <xdr:rowOff>138960</xdr:rowOff>
    </xdr:to>
    <xdr:sp>
      <xdr:nvSpPr>
        <xdr:cNvPr id="163" name="CustomShape 1"/>
        <xdr:cNvSpPr/>
      </xdr:nvSpPr>
      <xdr:spPr>
        <a:xfrm>
          <a:off x="2446920" y="386568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434520</xdr:colOff>
      <xdr:row>21</xdr:row>
      <xdr:rowOff>5760</xdr:rowOff>
    </xdr:from>
    <xdr:to>
      <xdr:col>5</xdr:col>
      <xdr:colOff>572040</xdr:colOff>
      <xdr:row>21</xdr:row>
      <xdr:rowOff>6120</xdr:rowOff>
    </xdr:to>
    <xdr:sp>
      <xdr:nvSpPr>
        <xdr:cNvPr id="164" name="CustomShape 1"/>
        <xdr:cNvSpPr/>
      </xdr:nvSpPr>
      <xdr:spPr>
        <a:xfrm>
          <a:off x="2440800" y="387324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566640</xdr:colOff>
      <xdr:row>20</xdr:row>
      <xdr:rowOff>173160</xdr:rowOff>
    </xdr:from>
    <xdr:to>
      <xdr:col>5</xdr:col>
      <xdr:colOff>568080</xdr:colOff>
      <xdr:row>21</xdr:row>
      <xdr:rowOff>138960</xdr:rowOff>
    </xdr:to>
    <xdr:sp>
      <xdr:nvSpPr>
        <xdr:cNvPr id="165" name="CustomShape 1"/>
        <xdr:cNvSpPr/>
      </xdr:nvSpPr>
      <xdr:spPr>
        <a:xfrm>
          <a:off x="2572920" y="386568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562680</xdr:colOff>
      <xdr:row>21</xdr:row>
      <xdr:rowOff>133200</xdr:rowOff>
    </xdr:from>
    <xdr:to>
      <xdr:col>6</xdr:col>
      <xdr:colOff>96120</xdr:colOff>
      <xdr:row>21</xdr:row>
      <xdr:rowOff>133560</xdr:rowOff>
    </xdr:to>
    <xdr:sp>
      <xdr:nvSpPr>
        <xdr:cNvPr id="166" name="CustomShape 1"/>
        <xdr:cNvSpPr/>
      </xdr:nvSpPr>
      <xdr:spPr>
        <a:xfrm>
          <a:off x="2568960" y="400068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86760</xdr:colOff>
      <xdr:row>20</xdr:row>
      <xdr:rowOff>171000</xdr:rowOff>
    </xdr:from>
    <xdr:to>
      <xdr:col>6</xdr:col>
      <xdr:colOff>88200</xdr:colOff>
      <xdr:row>21</xdr:row>
      <xdr:rowOff>136800</xdr:rowOff>
    </xdr:to>
    <xdr:sp>
      <xdr:nvSpPr>
        <xdr:cNvPr id="167" name="CustomShape 1"/>
        <xdr:cNvSpPr/>
      </xdr:nvSpPr>
      <xdr:spPr>
        <a:xfrm>
          <a:off x="2697120" y="386352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84600</xdr:colOff>
      <xdr:row>21</xdr:row>
      <xdr:rowOff>3960</xdr:rowOff>
    </xdr:from>
    <xdr:to>
      <xdr:col>6</xdr:col>
      <xdr:colOff>222120</xdr:colOff>
      <xdr:row>21</xdr:row>
      <xdr:rowOff>4320</xdr:rowOff>
    </xdr:to>
    <xdr:sp>
      <xdr:nvSpPr>
        <xdr:cNvPr id="168" name="CustomShape 1"/>
        <xdr:cNvSpPr/>
      </xdr:nvSpPr>
      <xdr:spPr>
        <a:xfrm>
          <a:off x="2694960" y="387144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218520</xdr:colOff>
      <xdr:row>20</xdr:row>
      <xdr:rowOff>171000</xdr:rowOff>
    </xdr:from>
    <xdr:to>
      <xdr:col>6</xdr:col>
      <xdr:colOff>219960</xdr:colOff>
      <xdr:row>21</xdr:row>
      <xdr:rowOff>136800</xdr:rowOff>
    </xdr:to>
    <xdr:sp>
      <xdr:nvSpPr>
        <xdr:cNvPr id="169" name="CustomShape 1"/>
        <xdr:cNvSpPr/>
      </xdr:nvSpPr>
      <xdr:spPr>
        <a:xfrm>
          <a:off x="2828880" y="386352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216720</xdr:colOff>
      <xdr:row>21</xdr:row>
      <xdr:rowOff>131400</xdr:rowOff>
    </xdr:from>
    <xdr:to>
      <xdr:col>6</xdr:col>
      <xdr:colOff>354240</xdr:colOff>
      <xdr:row>21</xdr:row>
      <xdr:rowOff>131760</xdr:rowOff>
    </xdr:to>
    <xdr:sp>
      <xdr:nvSpPr>
        <xdr:cNvPr id="170" name="CustomShape 1"/>
        <xdr:cNvSpPr/>
      </xdr:nvSpPr>
      <xdr:spPr>
        <a:xfrm>
          <a:off x="2827080" y="399888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448560</xdr:colOff>
      <xdr:row>21</xdr:row>
      <xdr:rowOff>137160</xdr:rowOff>
    </xdr:from>
    <xdr:to>
      <xdr:col>6</xdr:col>
      <xdr:colOff>356400</xdr:colOff>
      <xdr:row>21</xdr:row>
      <xdr:rowOff>138600</xdr:rowOff>
    </xdr:to>
    <xdr:sp>
      <xdr:nvSpPr>
        <xdr:cNvPr id="171" name="CustomShape 1"/>
        <xdr:cNvSpPr/>
      </xdr:nvSpPr>
      <xdr:spPr>
        <a:xfrm flipV="1">
          <a:off x="2454840" y="4004640"/>
          <a:ext cx="511920" cy="1440"/>
        </a:xfrm>
        <a:prstGeom prst="straightConnector1">
          <a:avLst/>
        </a:prstGeom>
        <a:noFill/>
        <a:ln w="3240">
          <a:solidFill>
            <a:schemeClr val="tx1"/>
          </a:solidFill>
          <a:custDash>
            <a:ds d="1500000" sp="1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179280</xdr:colOff>
      <xdr:row>69</xdr:row>
      <xdr:rowOff>157320</xdr:rowOff>
    </xdr:from>
    <xdr:to>
      <xdr:col>16</xdr:col>
      <xdr:colOff>350640</xdr:colOff>
      <xdr:row>71</xdr:row>
      <xdr:rowOff>57960</xdr:rowOff>
    </xdr:to>
    <xdr:sp>
      <xdr:nvSpPr>
        <xdr:cNvPr id="172" name="CustomShape 1"/>
        <xdr:cNvSpPr/>
      </xdr:nvSpPr>
      <xdr:spPr>
        <a:xfrm>
          <a:off x="8792280" y="12464640"/>
          <a:ext cx="578880" cy="2512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100" strike="noStrike" baseline="-25000">
              <a:solidFill>
                <a:srgbClr val="000000"/>
              </a:solidFill>
              <a:latin typeface="Arial"/>
            </a:rPr>
            <a:t>REFIN</a:t>
          </a:r>
          <a:endParaRPr/>
        </a:p>
      </xdr:txBody>
    </xdr:sp>
    <xdr:clientData/>
  </xdr:twoCellAnchor>
  <xdr:twoCellAnchor editAs="oneCell">
    <xdr:from>
      <xdr:col>14</xdr:col>
      <xdr:colOff>659520</xdr:colOff>
      <xdr:row>69</xdr:row>
      <xdr:rowOff>19800</xdr:rowOff>
    </xdr:from>
    <xdr:to>
      <xdr:col>15</xdr:col>
      <xdr:colOff>225000</xdr:colOff>
      <xdr:row>70</xdr:row>
      <xdr:rowOff>34200</xdr:rowOff>
    </xdr:to>
    <xdr:sp>
      <xdr:nvSpPr>
        <xdr:cNvPr id="173" name="CustomShape 1"/>
        <xdr:cNvSpPr/>
      </xdr:nvSpPr>
      <xdr:spPr>
        <a:xfrm flipH="1" flipV="1">
          <a:off x="8590320" y="12327120"/>
          <a:ext cx="247680" cy="1897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430920</xdr:colOff>
      <xdr:row>26</xdr:row>
      <xdr:rowOff>70200</xdr:rowOff>
    </xdr:from>
    <xdr:to>
      <xdr:col>23</xdr:col>
      <xdr:colOff>34200</xdr:colOff>
      <xdr:row>35</xdr:row>
      <xdr:rowOff>154080</xdr:rowOff>
    </xdr:to>
    <xdr:sp>
      <xdr:nvSpPr>
        <xdr:cNvPr id="174" name="CustomShape 1"/>
        <xdr:cNvSpPr/>
      </xdr:nvSpPr>
      <xdr:spPr>
        <a:xfrm>
          <a:off x="5830920" y="4814280"/>
          <a:ext cx="7056720" cy="1661040"/>
        </a:xfrm>
        <a:prstGeom prst="roundRect">
          <a:avLst>
            <a:gd name="adj" fmla="val 13069"/>
          </a:avLst>
        </a:prstGeom>
        <a:noFill/>
        <a:ln>
          <a:solidFill>
            <a:schemeClr val="tx1"/>
          </a:solidFill>
          <a:custDash>
            <a:ds d="100000" sp="100000"/>
          </a:custDash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659520</xdr:colOff>
      <xdr:row>28</xdr:row>
      <xdr:rowOff>162000</xdr:rowOff>
    </xdr:from>
    <xdr:to>
      <xdr:col>17</xdr:col>
      <xdr:colOff>102960</xdr:colOff>
      <xdr:row>32</xdr:row>
      <xdr:rowOff>50760</xdr:rowOff>
    </xdr:to>
    <xdr:sp>
      <xdr:nvSpPr>
        <xdr:cNvPr id="175" name="CustomShape 1"/>
        <xdr:cNvSpPr/>
      </xdr:nvSpPr>
      <xdr:spPr>
        <a:xfrm>
          <a:off x="9680040" y="5256360"/>
          <a:ext cx="203760" cy="590040"/>
        </a:xfrm>
        <a:prstGeom prst="trapezoid">
          <a:avLst>
            <a:gd name="adj" fmla="val 21205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217440</xdr:colOff>
      <xdr:row>30</xdr:row>
      <xdr:rowOff>156240</xdr:rowOff>
    </xdr:from>
    <xdr:to>
      <xdr:col>12</xdr:col>
      <xdr:colOff>300960</xdr:colOff>
      <xdr:row>32</xdr:row>
      <xdr:rowOff>25920</xdr:rowOff>
    </xdr:to>
    <xdr:sp>
      <xdr:nvSpPr>
        <xdr:cNvPr id="176" name="CustomShape 1"/>
        <xdr:cNvSpPr/>
      </xdr:nvSpPr>
      <xdr:spPr>
        <a:xfrm>
          <a:off x="6377400" y="5601240"/>
          <a:ext cx="569160" cy="22032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12</xdr:col>
      <xdr:colOff>301320</xdr:colOff>
      <xdr:row>31</xdr:row>
      <xdr:rowOff>91080</xdr:rowOff>
    </xdr:from>
    <xdr:to>
      <xdr:col>13</xdr:col>
      <xdr:colOff>308520</xdr:colOff>
      <xdr:row>31</xdr:row>
      <xdr:rowOff>91440</xdr:rowOff>
    </xdr:to>
    <xdr:sp>
      <xdr:nvSpPr>
        <xdr:cNvPr id="177" name="CustomShape 1"/>
        <xdr:cNvSpPr/>
      </xdr:nvSpPr>
      <xdr:spPr>
        <a:xfrm>
          <a:off x="6946920" y="5711400"/>
          <a:ext cx="5324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126000</xdr:colOff>
      <xdr:row>30</xdr:row>
      <xdr:rowOff>83880</xdr:rowOff>
    </xdr:from>
    <xdr:to>
      <xdr:col>16</xdr:col>
      <xdr:colOff>251280</xdr:colOff>
      <xdr:row>32</xdr:row>
      <xdr:rowOff>98280</xdr:rowOff>
    </xdr:to>
    <xdr:sp>
      <xdr:nvSpPr>
        <xdr:cNvPr id="178" name="CustomShape 1"/>
        <xdr:cNvSpPr/>
      </xdr:nvSpPr>
      <xdr:spPr>
        <a:xfrm>
          <a:off x="8739000" y="5528880"/>
          <a:ext cx="53280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÷ 2</a:t>
          </a:r>
          <a:endParaRPr/>
        </a:p>
      </xdr:txBody>
    </xdr:sp>
    <xdr:clientData/>
  </xdr:twoCellAnchor>
  <xdr:twoCellAnchor editAs="oneCell">
    <xdr:from>
      <xdr:col>14</xdr:col>
      <xdr:colOff>255600</xdr:colOff>
      <xdr:row>31</xdr:row>
      <xdr:rowOff>91080</xdr:rowOff>
    </xdr:from>
    <xdr:to>
      <xdr:col>15</xdr:col>
      <xdr:colOff>125640</xdr:colOff>
      <xdr:row>31</xdr:row>
      <xdr:rowOff>91440</xdr:rowOff>
    </xdr:to>
    <xdr:sp>
      <xdr:nvSpPr>
        <xdr:cNvPr id="179" name="CustomShape 1"/>
        <xdr:cNvSpPr/>
      </xdr:nvSpPr>
      <xdr:spPr>
        <a:xfrm>
          <a:off x="8186400" y="5711400"/>
          <a:ext cx="5522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750960</xdr:colOff>
      <xdr:row>32</xdr:row>
      <xdr:rowOff>7200</xdr:rowOff>
    </xdr:from>
    <xdr:to>
      <xdr:col>16</xdr:col>
      <xdr:colOff>751320</xdr:colOff>
      <xdr:row>33</xdr:row>
      <xdr:rowOff>142560</xdr:rowOff>
    </xdr:to>
    <xdr:sp>
      <xdr:nvSpPr>
        <xdr:cNvPr id="180" name="CustomShape 1"/>
        <xdr:cNvSpPr/>
      </xdr:nvSpPr>
      <xdr:spPr>
        <a:xfrm flipV="1">
          <a:off x="9771480" y="5802840"/>
          <a:ext cx="360" cy="3103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198360</xdr:colOff>
      <xdr:row>33</xdr:row>
      <xdr:rowOff>17280</xdr:rowOff>
    </xdr:from>
    <xdr:to>
      <xdr:col>14</xdr:col>
      <xdr:colOff>158040</xdr:colOff>
      <xdr:row>35</xdr:row>
      <xdr:rowOff>92880</xdr:rowOff>
    </xdr:to>
    <xdr:sp>
      <xdr:nvSpPr>
        <xdr:cNvPr id="181" name="CustomShape 1"/>
        <xdr:cNvSpPr/>
      </xdr:nvSpPr>
      <xdr:spPr>
        <a:xfrm>
          <a:off x="7369200" y="5987880"/>
          <a:ext cx="719640" cy="426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Must be 4 MHz</a:t>
          </a:r>
          <a:endParaRPr/>
        </a:p>
      </xdr:txBody>
    </xdr:sp>
    <xdr:clientData/>
  </xdr:twoCellAnchor>
  <xdr:twoCellAnchor editAs="oneCell">
    <xdr:from>
      <xdr:col>13</xdr:col>
      <xdr:colOff>30240</xdr:colOff>
      <xdr:row>32</xdr:row>
      <xdr:rowOff>135000</xdr:rowOff>
    </xdr:from>
    <xdr:to>
      <xdr:col>13</xdr:col>
      <xdr:colOff>239400</xdr:colOff>
      <xdr:row>33</xdr:row>
      <xdr:rowOff>146520</xdr:rowOff>
    </xdr:to>
    <xdr:sp>
      <xdr:nvSpPr>
        <xdr:cNvPr id="182" name="CustomShape 1"/>
        <xdr:cNvSpPr/>
      </xdr:nvSpPr>
      <xdr:spPr>
        <a:xfrm flipH="1" flipV="1">
          <a:off x="7201080" y="5930640"/>
          <a:ext cx="209160" cy="1864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419400</xdr:colOff>
      <xdr:row>31</xdr:row>
      <xdr:rowOff>89280</xdr:rowOff>
    </xdr:from>
    <xdr:to>
      <xdr:col>14</xdr:col>
      <xdr:colOff>430560</xdr:colOff>
      <xdr:row>37</xdr:row>
      <xdr:rowOff>9000</xdr:rowOff>
    </xdr:to>
    <xdr:sp>
      <xdr:nvSpPr>
        <xdr:cNvPr id="183" name="CustomShape 1"/>
        <xdr:cNvSpPr/>
      </xdr:nvSpPr>
      <xdr:spPr>
        <a:xfrm>
          <a:off x="8350200" y="5709600"/>
          <a:ext cx="11160" cy="97128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430920</xdr:colOff>
      <xdr:row>37</xdr:row>
      <xdr:rowOff>9360</xdr:rowOff>
    </xdr:from>
    <xdr:to>
      <xdr:col>15</xdr:col>
      <xdr:colOff>110520</xdr:colOff>
      <xdr:row>37</xdr:row>
      <xdr:rowOff>10440</xdr:rowOff>
    </xdr:to>
    <xdr:sp>
      <xdr:nvSpPr>
        <xdr:cNvPr id="184" name="CustomShape 1"/>
        <xdr:cNvSpPr/>
      </xdr:nvSpPr>
      <xdr:spPr>
        <a:xfrm>
          <a:off x="8361720" y="6681240"/>
          <a:ext cx="36180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68760</xdr:colOff>
      <xdr:row>36</xdr:row>
      <xdr:rowOff>51480</xdr:rowOff>
    </xdr:from>
    <xdr:to>
      <xdr:col>17</xdr:col>
      <xdr:colOff>70200</xdr:colOff>
      <xdr:row>37</xdr:row>
      <xdr:rowOff>145080</xdr:rowOff>
    </xdr:to>
    <xdr:sp>
      <xdr:nvSpPr>
        <xdr:cNvPr id="185" name="CustomShape 1"/>
        <xdr:cNvSpPr/>
      </xdr:nvSpPr>
      <xdr:spPr>
        <a:xfrm>
          <a:off x="8681760" y="6548040"/>
          <a:ext cx="1169280" cy="2689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USB PLL Out</a:t>
          </a:r>
          <a:endParaRPr/>
        </a:p>
      </xdr:txBody>
    </xdr:sp>
    <xdr:clientData/>
  </xdr:twoCellAnchor>
  <xdr:twoCellAnchor editAs="oneCell">
    <xdr:from>
      <xdr:col>10</xdr:col>
      <xdr:colOff>678600</xdr:colOff>
      <xdr:row>29</xdr:row>
      <xdr:rowOff>119880</xdr:rowOff>
    </xdr:from>
    <xdr:to>
      <xdr:col>16</xdr:col>
      <xdr:colOff>644040</xdr:colOff>
      <xdr:row>29</xdr:row>
      <xdr:rowOff>120240</xdr:rowOff>
    </xdr:to>
    <xdr:sp>
      <xdr:nvSpPr>
        <xdr:cNvPr id="186" name="CustomShape 1"/>
        <xdr:cNvSpPr/>
      </xdr:nvSpPr>
      <xdr:spPr>
        <a:xfrm>
          <a:off x="6078600" y="5389560"/>
          <a:ext cx="35859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682200</xdr:colOff>
      <xdr:row>29</xdr:row>
      <xdr:rowOff>108720</xdr:rowOff>
    </xdr:from>
    <xdr:to>
      <xdr:col>10</xdr:col>
      <xdr:colOff>685800</xdr:colOff>
      <xdr:row>31</xdr:row>
      <xdr:rowOff>88920</xdr:rowOff>
    </xdr:to>
    <xdr:sp>
      <xdr:nvSpPr>
        <xdr:cNvPr id="187" name="CustomShape 1"/>
        <xdr:cNvSpPr/>
      </xdr:nvSpPr>
      <xdr:spPr>
        <a:xfrm flipH="1">
          <a:off x="6082200" y="5378400"/>
          <a:ext cx="3600" cy="3308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217440</xdr:colOff>
      <xdr:row>30</xdr:row>
      <xdr:rowOff>131400</xdr:rowOff>
    </xdr:from>
    <xdr:to>
      <xdr:col>10</xdr:col>
      <xdr:colOff>179640</xdr:colOff>
      <xdr:row>32</xdr:row>
      <xdr:rowOff>41400</xdr:rowOff>
    </xdr:to>
    <xdr:sp>
      <xdr:nvSpPr>
        <xdr:cNvPr id="188" name="CustomShape 1"/>
        <xdr:cNvSpPr/>
      </xdr:nvSpPr>
      <xdr:spPr>
        <a:xfrm>
          <a:off x="4966920" y="557640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17</xdr:col>
      <xdr:colOff>484200</xdr:colOff>
      <xdr:row>27</xdr:row>
      <xdr:rowOff>138960</xdr:rowOff>
    </xdr:from>
    <xdr:to>
      <xdr:col>18</xdr:col>
      <xdr:colOff>110520</xdr:colOff>
      <xdr:row>31</xdr:row>
      <xdr:rowOff>27720</xdr:rowOff>
    </xdr:to>
    <xdr:sp>
      <xdr:nvSpPr>
        <xdr:cNvPr id="189" name="CustomShape 1"/>
        <xdr:cNvSpPr/>
      </xdr:nvSpPr>
      <xdr:spPr>
        <a:xfrm>
          <a:off x="10265040" y="5058000"/>
          <a:ext cx="198360" cy="590040"/>
        </a:xfrm>
        <a:prstGeom prst="trapezoid">
          <a:avLst>
            <a:gd name="adj" fmla="val 21205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3600</xdr:colOff>
      <xdr:row>30</xdr:row>
      <xdr:rowOff>159120</xdr:rowOff>
    </xdr:from>
    <xdr:to>
      <xdr:col>18</xdr:col>
      <xdr:colOff>7200</xdr:colOff>
      <xdr:row>32</xdr:row>
      <xdr:rowOff>126360</xdr:rowOff>
    </xdr:to>
    <xdr:sp>
      <xdr:nvSpPr>
        <xdr:cNvPr id="190" name="CustomShape 1"/>
        <xdr:cNvSpPr/>
      </xdr:nvSpPr>
      <xdr:spPr>
        <a:xfrm flipH="1" flipV="1">
          <a:off x="10356480" y="5604120"/>
          <a:ext cx="3600" cy="3178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103320</xdr:colOff>
      <xdr:row>30</xdr:row>
      <xdr:rowOff>104760</xdr:rowOff>
    </xdr:from>
    <xdr:to>
      <xdr:col>17</xdr:col>
      <xdr:colOff>472680</xdr:colOff>
      <xdr:row>30</xdr:row>
      <xdr:rowOff>106200</xdr:rowOff>
    </xdr:to>
    <xdr:sp>
      <xdr:nvSpPr>
        <xdr:cNvPr id="191" name="CustomShape 1"/>
        <xdr:cNvSpPr/>
      </xdr:nvSpPr>
      <xdr:spPr>
        <a:xfrm flipV="1">
          <a:off x="9884160" y="5549760"/>
          <a:ext cx="36936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251640</xdr:colOff>
      <xdr:row>31</xdr:row>
      <xdr:rowOff>89280</xdr:rowOff>
    </xdr:from>
    <xdr:to>
      <xdr:col>16</xdr:col>
      <xdr:colOff>651240</xdr:colOff>
      <xdr:row>31</xdr:row>
      <xdr:rowOff>90720</xdr:rowOff>
    </xdr:to>
    <xdr:sp>
      <xdr:nvSpPr>
        <xdr:cNvPr id="192" name="CustomShape 1"/>
        <xdr:cNvSpPr/>
      </xdr:nvSpPr>
      <xdr:spPr>
        <a:xfrm flipV="1">
          <a:off x="9272160" y="5709600"/>
          <a:ext cx="39960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196560</xdr:colOff>
      <xdr:row>28</xdr:row>
      <xdr:rowOff>50760</xdr:rowOff>
    </xdr:from>
    <xdr:to>
      <xdr:col>17</xdr:col>
      <xdr:colOff>464760</xdr:colOff>
      <xdr:row>28</xdr:row>
      <xdr:rowOff>55440</xdr:rowOff>
    </xdr:to>
    <xdr:sp>
      <xdr:nvSpPr>
        <xdr:cNvPr id="193" name="CustomShape 1"/>
        <xdr:cNvSpPr/>
      </xdr:nvSpPr>
      <xdr:spPr>
        <a:xfrm flipV="1">
          <a:off x="5596560" y="5145120"/>
          <a:ext cx="4649040" cy="46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331200</xdr:colOff>
      <xdr:row>27</xdr:row>
      <xdr:rowOff>97200</xdr:rowOff>
    </xdr:from>
    <xdr:to>
      <xdr:col>10</xdr:col>
      <xdr:colOff>174600</xdr:colOff>
      <xdr:row>29</xdr:row>
      <xdr:rowOff>7200</xdr:rowOff>
    </xdr:to>
    <xdr:sp>
      <xdr:nvSpPr>
        <xdr:cNvPr id="194" name="CustomShape 1"/>
        <xdr:cNvSpPr/>
      </xdr:nvSpPr>
      <xdr:spPr>
        <a:xfrm>
          <a:off x="5080680" y="5016240"/>
          <a:ext cx="4939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FRC</a:t>
          </a:r>
          <a:endParaRPr/>
        </a:p>
      </xdr:txBody>
    </xdr:sp>
    <xdr:clientData/>
  </xdr:twoCellAnchor>
  <xdr:twoCellAnchor editAs="oneCell">
    <xdr:from>
      <xdr:col>12</xdr:col>
      <xdr:colOff>70200</xdr:colOff>
      <xdr:row>26</xdr:row>
      <xdr:rowOff>100800</xdr:rowOff>
    </xdr:from>
    <xdr:to>
      <xdr:col>13</xdr:col>
      <xdr:colOff>377640</xdr:colOff>
      <xdr:row>28</xdr:row>
      <xdr:rowOff>11160</xdr:rowOff>
    </xdr:to>
    <xdr:sp>
      <xdr:nvSpPr>
        <xdr:cNvPr id="195" name="CustomShape 1"/>
        <xdr:cNvSpPr/>
      </xdr:nvSpPr>
      <xdr:spPr>
        <a:xfrm>
          <a:off x="6715800" y="4844880"/>
          <a:ext cx="8326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USB PLL</a:t>
          </a:r>
          <a:endParaRPr/>
        </a:p>
      </xdr:txBody>
    </xdr:sp>
    <xdr:clientData/>
  </xdr:twoCellAnchor>
  <xdr:twoCellAnchor editAs="oneCell">
    <xdr:from>
      <xdr:col>12</xdr:col>
      <xdr:colOff>133200</xdr:colOff>
      <xdr:row>51</xdr:row>
      <xdr:rowOff>161280</xdr:rowOff>
    </xdr:from>
    <xdr:to>
      <xdr:col>13</xdr:col>
      <xdr:colOff>439920</xdr:colOff>
      <xdr:row>51</xdr:row>
      <xdr:rowOff>165240</xdr:rowOff>
    </xdr:to>
    <xdr:sp>
      <xdr:nvSpPr>
        <xdr:cNvPr id="196" name="CustomShape 1"/>
        <xdr:cNvSpPr/>
      </xdr:nvSpPr>
      <xdr:spPr>
        <a:xfrm>
          <a:off x="6778800" y="9286560"/>
          <a:ext cx="83196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727560</xdr:colOff>
      <xdr:row>51</xdr:row>
      <xdr:rowOff>26640</xdr:rowOff>
    </xdr:from>
    <xdr:to>
      <xdr:col>12</xdr:col>
      <xdr:colOff>94680</xdr:colOff>
      <xdr:row>52</xdr:row>
      <xdr:rowOff>111960</xdr:rowOff>
    </xdr:to>
    <xdr:sp>
      <xdr:nvSpPr>
        <xdr:cNvPr id="197" name="CustomShape 1"/>
        <xdr:cNvSpPr/>
      </xdr:nvSpPr>
      <xdr:spPr>
        <a:xfrm>
          <a:off x="6127560" y="915192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6</xdr:col>
      <xdr:colOff>34560</xdr:colOff>
      <xdr:row>13</xdr:row>
      <xdr:rowOff>86400</xdr:rowOff>
    </xdr:from>
    <xdr:to>
      <xdr:col>6</xdr:col>
      <xdr:colOff>569520</xdr:colOff>
      <xdr:row>13</xdr:row>
      <xdr:rowOff>87840</xdr:rowOff>
    </xdr:to>
    <xdr:sp>
      <xdr:nvSpPr>
        <xdr:cNvPr id="198" name="CustomShape 1"/>
        <xdr:cNvSpPr/>
      </xdr:nvSpPr>
      <xdr:spPr>
        <a:xfrm flipV="1">
          <a:off x="2644920" y="2547360"/>
          <a:ext cx="53496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423360</xdr:colOff>
      <xdr:row>13</xdr:row>
      <xdr:rowOff>79920</xdr:rowOff>
    </xdr:from>
    <xdr:to>
      <xdr:col>9</xdr:col>
      <xdr:colOff>72360</xdr:colOff>
      <xdr:row>13</xdr:row>
      <xdr:rowOff>85680</xdr:rowOff>
    </xdr:to>
    <xdr:sp>
      <xdr:nvSpPr>
        <xdr:cNvPr id="199" name="CustomShape 1"/>
        <xdr:cNvSpPr/>
      </xdr:nvSpPr>
      <xdr:spPr>
        <a:xfrm flipV="1">
          <a:off x="3652920" y="2540880"/>
          <a:ext cx="1168920" cy="57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569880</xdr:colOff>
      <xdr:row>12</xdr:row>
      <xdr:rowOff>143280</xdr:rowOff>
    </xdr:from>
    <xdr:to>
      <xdr:col>7</xdr:col>
      <xdr:colOff>423000</xdr:colOff>
      <xdr:row>14</xdr:row>
      <xdr:rowOff>28800</xdr:rowOff>
    </xdr:to>
    <xdr:sp>
      <xdr:nvSpPr>
        <xdr:cNvPr id="200" name="CustomShape 1"/>
        <xdr:cNvSpPr/>
      </xdr:nvSpPr>
      <xdr:spPr>
        <a:xfrm>
          <a:off x="3180240" y="2429280"/>
          <a:ext cx="472320" cy="2358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÷ 16</a:t>
          </a:r>
          <a:endParaRPr/>
        </a:p>
      </xdr:txBody>
    </xdr:sp>
    <xdr:clientData/>
  </xdr:twoCellAnchor>
  <xdr:twoCellAnchor editAs="oneCell">
    <xdr:from>
      <xdr:col>9</xdr:col>
      <xdr:colOff>78840</xdr:colOff>
      <xdr:row>12</xdr:row>
      <xdr:rowOff>120600</xdr:rowOff>
    </xdr:from>
    <xdr:to>
      <xdr:col>10</xdr:col>
      <xdr:colOff>476640</xdr:colOff>
      <xdr:row>14</xdr:row>
      <xdr:rowOff>30960</xdr:rowOff>
    </xdr:to>
    <xdr:sp>
      <xdr:nvSpPr>
        <xdr:cNvPr id="201" name="CustomShape 1"/>
        <xdr:cNvSpPr/>
      </xdr:nvSpPr>
      <xdr:spPr>
        <a:xfrm>
          <a:off x="4828320" y="2406600"/>
          <a:ext cx="10483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FRCDIV16 =</a:t>
          </a:r>
          <a:endParaRPr/>
        </a:p>
      </xdr:txBody>
    </xdr:sp>
    <xdr:clientData/>
  </xdr:twoCellAnchor>
  <xdr:twoCellAnchor editAs="oneCell">
    <xdr:from>
      <xdr:col>8</xdr:col>
      <xdr:colOff>27000</xdr:colOff>
      <xdr:row>9</xdr:row>
      <xdr:rowOff>122400</xdr:rowOff>
    </xdr:from>
    <xdr:to>
      <xdr:col>8</xdr:col>
      <xdr:colOff>27360</xdr:colOff>
      <xdr:row>10</xdr:row>
      <xdr:rowOff>150480</xdr:rowOff>
    </xdr:to>
    <xdr:sp>
      <xdr:nvSpPr>
        <xdr:cNvPr id="202" name="CustomShape 1"/>
        <xdr:cNvSpPr/>
      </xdr:nvSpPr>
      <xdr:spPr>
        <a:xfrm>
          <a:off x="4016520" y="1882440"/>
          <a:ext cx="360" cy="2034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133560</xdr:colOff>
      <xdr:row>23</xdr:row>
      <xdr:rowOff>174600</xdr:rowOff>
    </xdr:from>
    <xdr:to>
      <xdr:col>16</xdr:col>
      <xdr:colOff>434520</xdr:colOff>
      <xdr:row>24</xdr:row>
      <xdr:rowOff>1440</xdr:rowOff>
    </xdr:to>
    <xdr:sp>
      <xdr:nvSpPr>
        <xdr:cNvPr id="203" name="CustomShape 1"/>
        <xdr:cNvSpPr/>
      </xdr:nvSpPr>
      <xdr:spPr>
        <a:xfrm flipV="1">
          <a:off x="9154080" y="4392720"/>
          <a:ext cx="30096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444240</xdr:colOff>
      <xdr:row>23</xdr:row>
      <xdr:rowOff>39960</xdr:rowOff>
    </xdr:from>
    <xdr:to>
      <xdr:col>19</xdr:col>
      <xdr:colOff>59040</xdr:colOff>
      <xdr:row>24</xdr:row>
      <xdr:rowOff>125280</xdr:rowOff>
    </xdr:to>
    <xdr:sp>
      <xdr:nvSpPr>
        <xdr:cNvPr id="204" name="CustomShape 1"/>
        <xdr:cNvSpPr/>
      </xdr:nvSpPr>
      <xdr:spPr>
        <a:xfrm>
          <a:off x="9464760" y="4258080"/>
          <a:ext cx="13546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System PLL Out</a:t>
          </a:r>
          <a:endParaRPr/>
        </a:p>
      </xdr:txBody>
    </xdr:sp>
    <xdr:clientData/>
  </xdr:twoCellAnchor>
  <xdr:twoCellAnchor editAs="oneCell">
    <xdr:from>
      <xdr:col>16</xdr:col>
      <xdr:colOff>122400</xdr:colOff>
      <xdr:row>18</xdr:row>
      <xdr:rowOff>86400</xdr:rowOff>
    </xdr:from>
    <xdr:to>
      <xdr:col>16</xdr:col>
      <xdr:colOff>133560</xdr:colOff>
      <xdr:row>24</xdr:row>
      <xdr:rowOff>1800</xdr:rowOff>
    </xdr:to>
    <xdr:sp>
      <xdr:nvSpPr>
        <xdr:cNvPr id="205" name="CustomShape 1"/>
        <xdr:cNvSpPr/>
      </xdr:nvSpPr>
      <xdr:spPr>
        <a:xfrm>
          <a:off x="9142920" y="3423960"/>
          <a:ext cx="11160" cy="97128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198360</xdr:colOff>
      <xdr:row>64</xdr:row>
      <xdr:rowOff>16920</xdr:rowOff>
    </xdr:from>
    <xdr:to>
      <xdr:col>12</xdr:col>
      <xdr:colOff>87120</xdr:colOff>
      <xdr:row>65</xdr:row>
      <xdr:rowOff>102240</xdr:rowOff>
    </xdr:to>
    <xdr:sp>
      <xdr:nvSpPr>
        <xdr:cNvPr id="206" name="CustomShape 1"/>
        <xdr:cNvSpPr/>
      </xdr:nvSpPr>
      <xdr:spPr>
        <a:xfrm>
          <a:off x="5598360" y="11443680"/>
          <a:ext cx="113436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USB PLL Out</a:t>
          </a:r>
          <a:endParaRPr/>
        </a:p>
      </xdr:txBody>
    </xdr:sp>
    <xdr:clientData/>
  </xdr:twoCellAnchor>
  <xdr:twoCellAnchor editAs="oneCell">
    <xdr:from>
      <xdr:col>13</xdr:col>
      <xdr:colOff>114480</xdr:colOff>
      <xdr:row>20</xdr:row>
      <xdr:rowOff>32040</xdr:rowOff>
    </xdr:from>
    <xdr:to>
      <xdr:col>14</xdr:col>
      <xdr:colOff>211320</xdr:colOff>
      <xdr:row>22</xdr:row>
      <xdr:rowOff>100440</xdr:rowOff>
    </xdr:to>
    <xdr:sp>
      <xdr:nvSpPr>
        <xdr:cNvPr id="207" name="CustomShape 1"/>
        <xdr:cNvSpPr/>
      </xdr:nvSpPr>
      <xdr:spPr>
        <a:xfrm>
          <a:off x="7285320" y="3724560"/>
          <a:ext cx="856800" cy="418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Must be 4 to 5 MHz</a:t>
          </a:r>
          <a:endParaRPr/>
        </a:p>
      </xdr:txBody>
    </xdr:sp>
    <xdr:clientData/>
  </xdr:twoCellAnchor>
  <xdr:twoCellAnchor editAs="oneCell">
    <xdr:from>
      <xdr:col>13</xdr:col>
      <xdr:colOff>42120</xdr:colOff>
      <xdr:row>19</xdr:row>
      <xdr:rowOff>151200</xdr:rowOff>
    </xdr:from>
    <xdr:to>
      <xdr:col>13</xdr:col>
      <xdr:colOff>194040</xdr:colOff>
      <xdr:row>20</xdr:row>
      <xdr:rowOff>92880</xdr:rowOff>
    </xdr:to>
    <xdr:sp>
      <xdr:nvSpPr>
        <xdr:cNvPr id="208" name="CustomShape 1"/>
        <xdr:cNvSpPr/>
      </xdr:nvSpPr>
      <xdr:spPr>
        <a:xfrm flipH="1" flipV="1">
          <a:off x="7212960" y="3663720"/>
          <a:ext cx="151920" cy="1216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103320</xdr:colOff>
      <xdr:row>0</xdr:row>
      <xdr:rowOff>90000</xdr:rowOff>
    </xdr:from>
    <xdr:to>
      <xdr:col>5</xdr:col>
      <xdr:colOff>156240</xdr:colOff>
      <xdr:row>2</xdr:row>
      <xdr:rowOff>19080</xdr:rowOff>
    </xdr:to>
    <xdr:pic>
      <xdr:nvPicPr>
        <xdr:cNvPr id="209" name="Picture 226" descr=""/>
        <xdr:cNvPicPr/>
      </xdr:nvPicPr>
      <xdr:blipFill>
        <a:blip r:embed="rId1"/>
        <a:stretch/>
      </xdr:blipFill>
      <xdr:spPr>
        <a:xfrm>
          <a:off x="103320" y="90000"/>
          <a:ext cx="2059200" cy="462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251640</xdr:colOff>
      <xdr:row>24</xdr:row>
      <xdr:rowOff>150480</xdr:rowOff>
    </xdr:from>
    <xdr:to>
      <xdr:col>9</xdr:col>
      <xdr:colOff>544680</xdr:colOff>
      <xdr:row>24</xdr:row>
      <xdr:rowOff>167400</xdr:rowOff>
    </xdr:to>
    <xdr:sp>
      <xdr:nvSpPr>
        <xdr:cNvPr id="210" name="CustomShape 1"/>
        <xdr:cNvSpPr/>
      </xdr:nvSpPr>
      <xdr:spPr>
        <a:xfrm flipV="1">
          <a:off x="2257920" y="4547160"/>
          <a:ext cx="3036240" cy="169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106920</xdr:colOff>
      <xdr:row>24</xdr:row>
      <xdr:rowOff>91800</xdr:rowOff>
    </xdr:from>
    <xdr:to>
      <xdr:col>5</xdr:col>
      <xdr:colOff>251280</xdr:colOff>
      <xdr:row>25</xdr:row>
      <xdr:rowOff>68400</xdr:rowOff>
    </xdr:to>
    <xdr:sp>
      <xdr:nvSpPr>
        <xdr:cNvPr id="211" name="CustomShape 1"/>
        <xdr:cNvSpPr/>
      </xdr:nvSpPr>
      <xdr:spPr>
        <a:xfrm>
          <a:off x="2113200" y="4488480"/>
          <a:ext cx="144360" cy="1519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101160</xdr:colOff>
      <xdr:row>24</xdr:row>
      <xdr:rowOff>86040</xdr:rowOff>
    </xdr:from>
    <xdr:to>
      <xdr:col>5</xdr:col>
      <xdr:colOff>249840</xdr:colOff>
      <xdr:row>25</xdr:row>
      <xdr:rowOff>70920</xdr:rowOff>
    </xdr:to>
    <xdr:sp>
      <xdr:nvSpPr>
        <xdr:cNvPr id="212" name="Line 1"/>
        <xdr:cNvSpPr/>
      </xdr:nvSpPr>
      <xdr:spPr>
        <a:xfrm flipV="1">
          <a:off x="2107440" y="4482720"/>
          <a:ext cx="148680" cy="16020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106920</xdr:colOff>
      <xdr:row>24</xdr:row>
      <xdr:rowOff>95760</xdr:rowOff>
    </xdr:from>
    <xdr:to>
      <xdr:col>5</xdr:col>
      <xdr:colOff>257400</xdr:colOff>
      <xdr:row>25</xdr:row>
      <xdr:rowOff>68760</xdr:rowOff>
    </xdr:to>
    <xdr:sp>
      <xdr:nvSpPr>
        <xdr:cNvPr id="213" name="Line 1"/>
        <xdr:cNvSpPr/>
      </xdr:nvSpPr>
      <xdr:spPr>
        <a:xfrm flipH="1" flipV="1">
          <a:off x="2113200" y="4492440"/>
          <a:ext cx="150480" cy="14832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109080</xdr:colOff>
      <xdr:row>29</xdr:row>
      <xdr:rowOff>101160</xdr:rowOff>
    </xdr:from>
    <xdr:to>
      <xdr:col>5</xdr:col>
      <xdr:colOff>253440</xdr:colOff>
      <xdr:row>30</xdr:row>
      <xdr:rowOff>70560</xdr:rowOff>
    </xdr:to>
    <xdr:sp>
      <xdr:nvSpPr>
        <xdr:cNvPr id="214" name="CustomShape 1"/>
        <xdr:cNvSpPr/>
      </xdr:nvSpPr>
      <xdr:spPr>
        <a:xfrm>
          <a:off x="2115360" y="537408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102960</xdr:colOff>
      <xdr:row>29</xdr:row>
      <xdr:rowOff>95760</xdr:rowOff>
    </xdr:from>
    <xdr:to>
      <xdr:col>5</xdr:col>
      <xdr:colOff>251640</xdr:colOff>
      <xdr:row>30</xdr:row>
      <xdr:rowOff>72720</xdr:rowOff>
    </xdr:to>
    <xdr:sp>
      <xdr:nvSpPr>
        <xdr:cNvPr id="215" name="Line 1"/>
        <xdr:cNvSpPr/>
      </xdr:nvSpPr>
      <xdr:spPr>
        <a:xfrm flipV="1">
          <a:off x="2109240" y="536868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108720</xdr:colOff>
      <xdr:row>29</xdr:row>
      <xdr:rowOff>104760</xdr:rowOff>
    </xdr:from>
    <xdr:to>
      <xdr:col>5</xdr:col>
      <xdr:colOff>259200</xdr:colOff>
      <xdr:row>30</xdr:row>
      <xdr:rowOff>70920</xdr:rowOff>
    </xdr:to>
    <xdr:sp>
      <xdr:nvSpPr>
        <xdr:cNvPr id="216" name="Line 1"/>
        <xdr:cNvSpPr/>
      </xdr:nvSpPr>
      <xdr:spPr>
        <a:xfrm flipH="1" flipV="1">
          <a:off x="2115000" y="537768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5</xdr:col>
      <xdr:colOff>253440</xdr:colOff>
      <xdr:row>29</xdr:row>
      <xdr:rowOff>173520</xdr:rowOff>
    </xdr:from>
    <xdr:to>
      <xdr:col>6</xdr:col>
      <xdr:colOff>377280</xdr:colOff>
      <xdr:row>29</xdr:row>
      <xdr:rowOff>173880</xdr:rowOff>
    </xdr:to>
    <xdr:sp>
      <xdr:nvSpPr>
        <xdr:cNvPr id="217" name="Line 1"/>
        <xdr:cNvSpPr/>
      </xdr:nvSpPr>
      <xdr:spPr>
        <a:xfrm flipH="1" flipV="1">
          <a:off x="2259720" y="5446440"/>
          <a:ext cx="727920" cy="3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28</xdr:row>
      <xdr:rowOff>80640</xdr:rowOff>
    </xdr:from>
    <xdr:to>
      <xdr:col>5</xdr:col>
      <xdr:colOff>516600</xdr:colOff>
      <xdr:row>29</xdr:row>
      <xdr:rowOff>173880</xdr:rowOff>
    </xdr:to>
    <xdr:sp>
      <xdr:nvSpPr>
        <xdr:cNvPr id="218" name="Line 1"/>
        <xdr:cNvSpPr/>
      </xdr:nvSpPr>
      <xdr:spPr>
        <a:xfrm>
          <a:off x="2517480" y="5178240"/>
          <a:ext cx="5400" cy="2685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26</xdr:row>
      <xdr:rowOff>78840</xdr:rowOff>
    </xdr:from>
    <xdr:to>
      <xdr:col>6</xdr:col>
      <xdr:colOff>2880</xdr:colOff>
      <xdr:row>26</xdr:row>
      <xdr:rowOff>111600</xdr:rowOff>
    </xdr:to>
    <xdr:sp>
      <xdr:nvSpPr>
        <xdr:cNvPr id="219" name="Line 1"/>
        <xdr:cNvSpPr/>
      </xdr:nvSpPr>
      <xdr:spPr>
        <a:xfrm>
          <a:off x="2517480" y="4825800"/>
          <a:ext cx="95760" cy="327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505800</xdr:colOff>
      <xdr:row>28</xdr:row>
      <xdr:rowOff>40320</xdr:rowOff>
    </xdr:from>
    <xdr:to>
      <xdr:col>5</xdr:col>
      <xdr:colOff>604440</xdr:colOff>
      <xdr:row>28</xdr:row>
      <xdr:rowOff>78840</xdr:rowOff>
    </xdr:to>
    <xdr:sp>
      <xdr:nvSpPr>
        <xdr:cNvPr id="220" name="Line 1"/>
        <xdr:cNvSpPr/>
      </xdr:nvSpPr>
      <xdr:spPr>
        <a:xfrm flipV="1">
          <a:off x="2512080" y="5137920"/>
          <a:ext cx="98640" cy="385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27</xdr:row>
      <xdr:rowOff>5760</xdr:rowOff>
    </xdr:from>
    <xdr:to>
      <xdr:col>6</xdr:col>
      <xdr:colOff>5760</xdr:colOff>
      <xdr:row>27</xdr:row>
      <xdr:rowOff>75240</xdr:rowOff>
    </xdr:to>
    <xdr:sp>
      <xdr:nvSpPr>
        <xdr:cNvPr id="221" name="Line 1"/>
        <xdr:cNvSpPr/>
      </xdr:nvSpPr>
      <xdr:spPr>
        <a:xfrm>
          <a:off x="2415960" y="492804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27</xdr:row>
      <xdr:rowOff>150120</xdr:rowOff>
    </xdr:from>
    <xdr:to>
      <xdr:col>6</xdr:col>
      <xdr:colOff>5760</xdr:colOff>
      <xdr:row>28</xdr:row>
      <xdr:rowOff>43920</xdr:rowOff>
    </xdr:to>
    <xdr:sp>
      <xdr:nvSpPr>
        <xdr:cNvPr id="222" name="Line 1"/>
        <xdr:cNvSpPr/>
      </xdr:nvSpPr>
      <xdr:spPr>
        <a:xfrm>
          <a:off x="2415960" y="5072400"/>
          <a:ext cx="20016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415080</xdr:colOff>
      <xdr:row>26</xdr:row>
      <xdr:rowOff>109800</xdr:rowOff>
    </xdr:from>
    <xdr:to>
      <xdr:col>5</xdr:col>
      <xdr:colOff>604440</xdr:colOff>
      <xdr:row>27</xdr:row>
      <xdr:rowOff>3960</xdr:rowOff>
    </xdr:to>
    <xdr:sp>
      <xdr:nvSpPr>
        <xdr:cNvPr id="223" name="Line 1"/>
        <xdr:cNvSpPr/>
      </xdr:nvSpPr>
      <xdr:spPr>
        <a:xfrm flipV="1">
          <a:off x="2421360" y="4856760"/>
          <a:ext cx="1893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420840</xdr:colOff>
      <xdr:row>27</xdr:row>
      <xdr:rowOff>77040</xdr:rowOff>
    </xdr:from>
    <xdr:to>
      <xdr:col>6</xdr:col>
      <xdr:colOff>5760</xdr:colOff>
      <xdr:row>27</xdr:row>
      <xdr:rowOff>146160</xdr:rowOff>
    </xdr:to>
    <xdr:sp>
      <xdr:nvSpPr>
        <xdr:cNvPr id="224" name="Line 1"/>
        <xdr:cNvSpPr/>
      </xdr:nvSpPr>
      <xdr:spPr>
        <a:xfrm flipV="1">
          <a:off x="2427120" y="4999320"/>
          <a:ext cx="18900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508320</xdr:colOff>
      <xdr:row>24</xdr:row>
      <xdr:rowOff>164160</xdr:rowOff>
    </xdr:from>
    <xdr:to>
      <xdr:col>5</xdr:col>
      <xdr:colOff>511200</xdr:colOff>
      <xdr:row>26</xdr:row>
      <xdr:rowOff>78840</xdr:rowOff>
    </xdr:to>
    <xdr:sp>
      <xdr:nvSpPr>
        <xdr:cNvPr id="225" name="Line 1"/>
        <xdr:cNvSpPr/>
      </xdr:nvSpPr>
      <xdr:spPr>
        <a:xfrm>
          <a:off x="2514600" y="4560840"/>
          <a:ext cx="2880" cy="2649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367920</xdr:colOff>
      <xdr:row>24</xdr:row>
      <xdr:rowOff>171720</xdr:rowOff>
    </xdr:from>
    <xdr:to>
      <xdr:col>6</xdr:col>
      <xdr:colOff>367920</xdr:colOff>
      <xdr:row>30</xdr:row>
      <xdr:rowOff>4320</xdr:rowOff>
    </xdr:to>
    <xdr:sp>
      <xdr:nvSpPr>
        <xdr:cNvPr id="226" name="Line 1"/>
        <xdr:cNvSpPr/>
      </xdr:nvSpPr>
      <xdr:spPr>
        <a:xfrm flipV="1">
          <a:off x="2978280" y="4568400"/>
          <a:ext cx="0" cy="8841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569880</xdr:colOff>
      <xdr:row>28</xdr:row>
      <xdr:rowOff>64440</xdr:rowOff>
    </xdr:from>
    <xdr:to>
      <xdr:col>7</xdr:col>
      <xdr:colOff>354240</xdr:colOff>
      <xdr:row>30</xdr:row>
      <xdr:rowOff>56880</xdr:rowOff>
    </xdr:to>
    <xdr:sp>
      <xdr:nvSpPr>
        <xdr:cNvPr id="227" name="CustomShape 1"/>
        <xdr:cNvSpPr/>
      </xdr:nvSpPr>
      <xdr:spPr>
        <a:xfrm rot="10800000">
          <a:off x="3180240" y="5162040"/>
          <a:ext cx="403560" cy="343080"/>
        </a:xfrm>
        <a:prstGeom prst="triangle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347400</xdr:colOff>
      <xdr:row>28</xdr:row>
      <xdr:rowOff>62640</xdr:rowOff>
    </xdr:from>
    <xdr:to>
      <xdr:col>6</xdr:col>
      <xdr:colOff>392040</xdr:colOff>
      <xdr:row>28</xdr:row>
      <xdr:rowOff>106200</xdr:rowOff>
    </xdr:to>
    <xdr:sp>
      <xdr:nvSpPr>
        <xdr:cNvPr id="228" name="CustomShape 1"/>
        <xdr:cNvSpPr/>
      </xdr:nvSpPr>
      <xdr:spPr>
        <a:xfrm>
          <a:off x="2957760" y="5160240"/>
          <a:ext cx="44640" cy="435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468360</xdr:colOff>
      <xdr:row>27</xdr:row>
      <xdr:rowOff>67320</xdr:rowOff>
    </xdr:from>
    <xdr:to>
      <xdr:col>7</xdr:col>
      <xdr:colOff>290880</xdr:colOff>
      <xdr:row>27</xdr:row>
      <xdr:rowOff>67680</xdr:rowOff>
    </xdr:to>
    <xdr:sp>
      <xdr:nvSpPr>
        <xdr:cNvPr id="229" name="CustomShape 1"/>
        <xdr:cNvSpPr/>
      </xdr:nvSpPr>
      <xdr:spPr>
        <a:xfrm flipH="1">
          <a:off x="3078720" y="4989600"/>
          <a:ext cx="4417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385200</xdr:colOff>
      <xdr:row>16</xdr:row>
      <xdr:rowOff>88200</xdr:rowOff>
    </xdr:from>
    <xdr:to>
      <xdr:col>17</xdr:col>
      <xdr:colOff>430560</xdr:colOff>
      <xdr:row>18</xdr:row>
      <xdr:rowOff>102960</xdr:rowOff>
    </xdr:to>
    <xdr:sp>
      <xdr:nvSpPr>
        <xdr:cNvPr id="230" name="CustomShape 1"/>
        <xdr:cNvSpPr/>
      </xdr:nvSpPr>
      <xdr:spPr>
        <a:xfrm>
          <a:off x="9405720" y="3082680"/>
          <a:ext cx="80568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Output Divider</a:t>
          </a:r>
          <a:endParaRPr/>
        </a:p>
      </xdr:txBody>
    </xdr:sp>
    <xdr:clientData/>
  </xdr:twoCellAnchor>
  <xdr:twoCellAnchor editAs="oneCell">
    <xdr:from>
      <xdr:col>7</xdr:col>
      <xdr:colOff>423360</xdr:colOff>
      <xdr:row>16</xdr:row>
      <xdr:rowOff>90000</xdr:rowOff>
    </xdr:from>
    <xdr:to>
      <xdr:col>8</xdr:col>
      <xdr:colOff>369720</xdr:colOff>
      <xdr:row>18</xdr:row>
      <xdr:rowOff>104760</xdr:rowOff>
    </xdr:to>
    <xdr:sp>
      <xdr:nvSpPr>
        <xdr:cNvPr id="231" name="CustomShape 1"/>
        <xdr:cNvSpPr/>
      </xdr:nvSpPr>
      <xdr:spPr>
        <a:xfrm>
          <a:off x="3652920" y="3084480"/>
          <a:ext cx="70632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Input Selection</a:t>
          </a:r>
          <a:endParaRPr/>
        </a:p>
      </xdr:txBody>
    </xdr:sp>
    <xdr:clientData/>
  </xdr:twoCellAnchor>
  <xdr:twoCellAnchor editAs="oneCell">
    <xdr:from>
      <xdr:col>10</xdr:col>
      <xdr:colOff>425160</xdr:colOff>
      <xdr:row>16</xdr:row>
      <xdr:rowOff>88200</xdr:rowOff>
    </xdr:from>
    <xdr:to>
      <xdr:col>11</xdr:col>
      <xdr:colOff>371520</xdr:colOff>
      <xdr:row>18</xdr:row>
      <xdr:rowOff>102960</xdr:rowOff>
    </xdr:to>
    <xdr:sp>
      <xdr:nvSpPr>
        <xdr:cNvPr id="232" name="CustomShape 1"/>
        <xdr:cNvSpPr/>
      </xdr:nvSpPr>
      <xdr:spPr>
        <a:xfrm>
          <a:off x="5825160" y="3082680"/>
          <a:ext cx="70632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Input Divider</a:t>
          </a:r>
          <a:endParaRPr/>
        </a:p>
      </xdr:txBody>
    </xdr:sp>
    <xdr:clientData/>
  </xdr:twoCellAnchor>
  <xdr:twoCellAnchor editAs="oneCell">
    <xdr:from>
      <xdr:col>13</xdr:col>
      <xdr:colOff>419400</xdr:colOff>
      <xdr:row>16</xdr:row>
      <xdr:rowOff>88200</xdr:rowOff>
    </xdr:from>
    <xdr:to>
      <xdr:col>14</xdr:col>
      <xdr:colOff>365760</xdr:colOff>
      <xdr:row>18</xdr:row>
      <xdr:rowOff>102960</xdr:rowOff>
    </xdr:to>
    <xdr:sp>
      <xdr:nvSpPr>
        <xdr:cNvPr id="233" name="CustomShape 1"/>
        <xdr:cNvSpPr/>
      </xdr:nvSpPr>
      <xdr:spPr>
        <a:xfrm>
          <a:off x="7590240" y="3082680"/>
          <a:ext cx="70632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Multiplier</a:t>
          </a:r>
          <a:endParaRPr/>
        </a:p>
      </xdr:txBody>
    </xdr:sp>
    <xdr:clientData/>
  </xdr:twoCellAnchor>
  <xdr:twoCellAnchor editAs="oneCell">
    <xdr:from>
      <xdr:col>7</xdr:col>
      <xdr:colOff>291960</xdr:colOff>
      <xdr:row>26</xdr:row>
      <xdr:rowOff>59760</xdr:rowOff>
    </xdr:from>
    <xdr:to>
      <xdr:col>8</xdr:col>
      <xdr:colOff>26640</xdr:colOff>
      <xdr:row>28</xdr:row>
      <xdr:rowOff>74520</xdr:rowOff>
    </xdr:to>
    <xdr:sp>
      <xdr:nvSpPr>
        <xdr:cNvPr id="234" name="CustomShape 1"/>
        <xdr:cNvSpPr/>
      </xdr:nvSpPr>
      <xdr:spPr>
        <a:xfrm>
          <a:off x="3521520" y="4806720"/>
          <a:ext cx="49464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POSC Enable</a:t>
          </a:r>
          <a:endParaRPr/>
        </a:p>
      </xdr:txBody>
    </xdr:sp>
    <xdr:clientData/>
  </xdr:twoCellAnchor>
  <xdr:twoCellAnchor editAs="oneCell">
    <xdr:from>
      <xdr:col>8</xdr:col>
      <xdr:colOff>370080</xdr:colOff>
      <xdr:row>17</xdr:row>
      <xdr:rowOff>95760</xdr:rowOff>
    </xdr:from>
    <xdr:to>
      <xdr:col>10</xdr:col>
      <xdr:colOff>424800</xdr:colOff>
      <xdr:row>17</xdr:row>
      <xdr:rowOff>97200</xdr:rowOff>
    </xdr:to>
    <xdr:sp>
      <xdr:nvSpPr>
        <xdr:cNvPr id="235" name="CustomShape 1"/>
        <xdr:cNvSpPr/>
      </xdr:nvSpPr>
      <xdr:spPr>
        <a:xfrm flipV="1">
          <a:off x="4359600" y="3265560"/>
          <a:ext cx="146520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371880</xdr:colOff>
      <xdr:row>17</xdr:row>
      <xdr:rowOff>95760</xdr:rowOff>
    </xdr:from>
    <xdr:to>
      <xdr:col>13</xdr:col>
      <xdr:colOff>419040</xdr:colOff>
      <xdr:row>17</xdr:row>
      <xdr:rowOff>96120</xdr:rowOff>
    </xdr:to>
    <xdr:sp>
      <xdr:nvSpPr>
        <xdr:cNvPr id="236" name="CustomShape 1"/>
        <xdr:cNvSpPr/>
      </xdr:nvSpPr>
      <xdr:spPr>
        <a:xfrm>
          <a:off x="6531840" y="3265560"/>
          <a:ext cx="10580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366120</xdr:colOff>
      <xdr:row>17</xdr:row>
      <xdr:rowOff>95760</xdr:rowOff>
    </xdr:from>
    <xdr:to>
      <xdr:col>16</xdr:col>
      <xdr:colOff>384840</xdr:colOff>
      <xdr:row>17</xdr:row>
      <xdr:rowOff>96120</xdr:rowOff>
    </xdr:to>
    <xdr:sp>
      <xdr:nvSpPr>
        <xdr:cNvPr id="237" name="CustomShape 1"/>
        <xdr:cNvSpPr/>
      </xdr:nvSpPr>
      <xdr:spPr>
        <a:xfrm>
          <a:off x="8296920" y="3265560"/>
          <a:ext cx="110844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430920</xdr:colOff>
      <xdr:row>17</xdr:row>
      <xdr:rowOff>85680</xdr:rowOff>
    </xdr:from>
    <xdr:to>
      <xdr:col>19</xdr:col>
      <xdr:colOff>145080</xdr:colOff>
      <xdr:row>17</xdr:row>
      <xdr:rowOff>94680</xdr:rowOff>
    </xdr:to>
    <xdr:sp>
      <xdr:nvSpPr>
        <xdr:cNvPr id="238" name="CustomShape 1"/>
        <xdr:cNvSpPr/>
      </xdr:nvSpPr>
      <xdr:spPr>
        <a:xfrm flipV="1">
          <a:off x="10211760" y="3255480"/>
          <a:ext cx="693720" cy="90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27000</xdr:colOff>
      <xdr:row>16</xdr:row>
      <xdr:rowOff>151200</xdr:rowOff>
    </xdr:from>
    <xdr:to>
      <xdr:col>7</xdr:col>
      <xdr:colOff>415440</xdr:colOff>
      <xdr:row>16</xdr:row>
      <xdr:rowOff>158400</xdr:rowOff>
    </xdr:to>
    <xdr:sp>
      <xdr:nvSpPr>
        <xdr:cNvPr id="239" name="CustomShape 1"/>
        <xdr:cNvSpPr/>
      </xdr:nvSpPr>
      <xdr:spPr>
        <a:xfrm flipV="1">
          <a:off x="2637360" y="3145680"/>
          <a:ext cx="100764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34560</xdr:colOff>
      <xdr:row>9</xdr:row>
      <xdr:rowOff>158760</xdr:rowOff>
    </xdr:from>
    <xdr:to>
      <xdr:col>5</xdr:col>
      <xdr:colOff>331560</xdr:colOff>
      <xdr:row>13</xdr:row>
      <xdr:rowOff>6120</xdr:rowOff>
    </xdr:to>
    <xdr:sp>
      <xdr:nvSpPr>
        <xdr:cNvPr id="240" name="CustomShape 1"/>
        <xdr:cNvSpPr/>
      </xdr:nvSpPr>
      <xdr:spPr>
        <a:xfrm>
          <a:off x="1633320" y="1918800"/>
          <a:ext cx="704520" cy="55620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FRC Oscillator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8 MHz</a:t>
          </a:r>
          <a:endParaRPr/>
        </a:p>
      </xdr:txBody>
    </xdr:sp>
    <xdr:clientData/>
  </xdr:twoCellAnchor>
  <xdr:twoCellAnchor editAs="oneCell">
    <xdr:from>
      <xdr:col>4</xdr:col>
      <xdr:colOff>34560</xdr:colOff>
      <xdr:row>26</xdr:row>
      <xdr:rowOff>67320</xdr:rowOff>
    </xdr:from>
    <xdr:to>
      <xdr:col>5</xdr:col>
      <xdr:colOff>300960</xdr:colOff>
      <xdr:row>28</xdr:row>
      <xdr:rowOff>90000</xdr:rowOff>
    </xdr:to>
    <xdr:sp>
      <xdr:nvSpPr>
        <xdr:cNvPr id="241" name="CustomShape 1"/>
        <xdr:cNvSpPr/>
      </xdr:nvSpPr>
      <xdr:spPr>
        <a:xfrm>
          <a:off x="1633320" y="4814280"/>
          <a:ext cx="673920" cy="3733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POSC Oscillator</a:t>
          </a:r>
          <a:endParaRPr/>
        </a:p>
      </xdr:txBody>
    </xdr:sp>
    <xdr:clientData/>
  </xdr:twoCellAnchor>
  <xdr:twoCellAnchor editAs="oneCell">
    <xdr:from>
      <xdr:col>6</xdr:col>
      <xdr:colOff>2160</xdr:colOff>
      <xdr:row>11</xdr:row>
      <xdr:rowOff>74880</xdr:rowOff>
    </xdr:from>
    <xdr:to>
      <xdr:col>6</xdr:col>
      <xdr:colOff>5760</xdr:colOff>
      <xdr:row>16</xdr:row>
      <xdr:rowOff>158400</xdr:rowOff>
    </xdr:to>
    <xdr:sp>
      <xdr:nvSpPr>
        <xdr:cNvPr id="242" name="CustomShape 1"/>
        <xdr:cNvSpPr/>
      </xdr:nvSpPr>
      <xdr:spPr>
        <a:xfrm flipH="1">
          <a:off x="2612520" y="2193120"/>
          <a:ext cx="3600" cy="9597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522360</xdr:colOff>
      <xdr:row>19</xdr:row>
      <xdr:rowOff>143280</xdr:rowOff>
    </xdr:from>
    <xdr:to>
      <xdr:col>14</xdr:col>
      <xdr:colOff>270720</xdr:colOff>
      <xdr:row>21</xdr:row>
      <xdr:rowOff>158040</xdr:rowOff>
    </xdr:to>
    <xdr:sp>
      <xdr:nvSpPr>
        <xdr:cNvPr id="243" name="CustomShape 1"/>
        <xdr:cNvSpPr/>
      </xdr:nvSpPr>
      <xdr:spPr>
        <a:xfrm>
          <a:off x="7693200" y="3663720"/>
          <a:ext cx="5083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PLL Range</a:t>
          </a:r>
          <a:endParaRPr/>
        </a:p>
      </xdr:txBody>
    </xdr:sp>
    <xdr:clientData/>
  </xdr:twoCellAnchor>
  <xdr:twoCellAnchor editAs="oneCell">
    <xdr:from>
      <xdr:col>14</xdr:col>
      <xdr:colOff>1800</xdr:colOff>
      <xdr:row>18</xdr:row>
      <xdr:rowOff>102600</xdr:rowOff>
    </xdr:from>
    <xdr:to>
      <xdr:col>14</xdr:col>
      <xdr:colOff>25920</xdr:colOff>
      <xdr:row>19</xdr:row>
      <xdr:rowOff>142200</xdr:rowOff>
    </xdr:to>
    <xdr:sp>
      <xdr:nvSpPr>
        <xdr:cNvPr id="244" name="CustomShape 1"/>
        <xdr:cNvSpPr/>
      </xdr:nvSpPr>
      <xdr:spPr>
        <a:xfrm flipH="1" flipV="1">
          <a:off x="7932600" y="3447720"/>
          <a:ext cx="24120" cy="2149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522360</xdr:colOff>
      <xdr:row>14</xdr:row>
      <xdr:rowOff>74880</xdr:rowOff>
    </xdr:from>
    <xdr:to>
      <xdr:col>18</xdr:col>
      <xdr:colOff>118080</xdr:colOff>
      <xdr:row>23</xdr:row>
      <xdr:rowOff>105120</xdr:rowOff>
    </xdr:to>
    <xdr:sp>
      <xdr:nvSpPr>
        <xdr:cNvPr id="245" name="CustomShape 1"/>
        <xdr:cNvSpPr/>
      </xdr:nvSpPr>
      <xdr:spPr>
        <a:xfrm>
          <a:off x="3132720" y="2718720"/>
          <a:ext cx="7338240" cy="1607760"/>
        </a:xfrm>
        <a:prstGeom prst="roundRect">
          <a:avLst>
            <a:gd name="adj" fmla="val 13069"/>
          </a:avLst>
        </a:prstGeom>
        <a:noFill/>
        <a:ln>
          <a:solidFill>
            <a:schemeClr val="tx1"/>
          </a:solidFill>
          <a:custDash>
            <a:ds d="100000" sp="100000"/>
          </a:custDash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34560</xdr:colOff>
      <xdr:row>17</xdr:row>
      <xdr:rowOff>158760</xdr:rowOff>
    </xdr:from>
    <xdr:to>
      <xdr:col>7</xdr:col>
      <xdr:colOff>41760</xdr:colOff>
      <xdr:row>25</xdr:row>
      <xdr:rowOff>6120</xdr:rowOff>
    </xdr:to>
    <xdr:sp>
      <xdr:nvSpPr>
        <xdr:cNvPr id="246" name="CustomShape 1"/>
        <xdr:cNvSpPr/>
      </xdr:nvSpPr>
      <xdr:spPr>
        <a:xfrm>
          <a:off x="3264120" y="3328560"/>
          <a:ext cx="7200" cy="12495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34560</xdr:colOff>
      <xdr:row>17</xdr:row>
      <xdr:rowOff>151200</xdr:rowOff>
    </xdr:from>
    <xdr:to>
      <xdr:col>7</xdr:col>
      <xdr:colOff>415080</xdr:colOff>
      <xdr:row>17</xdr:row>
      <xdr:rowOff>158400</xdr:rowOff>
    </xdr:to>
    <xdr:sp>
      <xdr:nvSpPr>
        <xdr:cNvPr id="247" name="CustomShape 1"/>
        <xdr:cNvSpPr/>
      </xdr:nvSpPr>
      <xdr:spPr>
        <a:xfrm flipV="1">
          <a:off x="3264120" y="3321000"/>
          <a:ext cx="38052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696240</xdr:colOff>
      <xdr:row>21</xdr:row>
      <xdr:rowOff>120600</xdr:rowOff>
    </xdr:from>
    <xdr:to>
      <xdr:col>10</xdr:col>
      <xdr:colOff>338760</xdr:colOff>
      <xdr:row>23</xdr:row>
      <xdr:rowOff>30600</xdr:rowOff>
    </xdr:to>
    <xdr:sp>
      <xdr:nvSpPr>
        <xdr:cNvPr id="248" name="CustomShape 1"/>
        <xdr:cNvSpPr/>
      </xdr:nvSpPr>
      <xdr:spPr>
        <a:xfrm>
          <a:off x="4685760" y="3991320"/>
          <a:ext cx="10530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System PLL</a:t>
          </a:r>
          <a:endParaRPr/>
        </a:p>
      </xdr:txBody>
    </xdr:sp>
    <xdr:clientData/>
  </xdr:twoCellAnchor>
  <xdr:twoCellAnchor editAs="oneCell">
    <xdr:from>
      <xdr:col>3</xdr:col>
      <xdr:colOff>339480</xdr:colOff>
      <xdr:row>56</xdr:row>
      <xdr:rowOff>29160</xdr:rowOff>
    </xdr:from>
    <xdr:to>
      <xdr:col>8</xdr:col>
      <xdr:colOff>57960</xdr:colOff>
      <xdr:row>60</xdr:row>
      <xdr:rowOff>28800</xdr:rowOff>
    </xdr:to>
    <xdr:sp>
      <xdr:nvSpPr>
        <xdr:cNvPr id="249" name="CustomShape 1"/>
        <xdr:cNvSpPr/>
      </xdr:nvSpPr>
      <xdr:spPr>
        <a:xfrm>
          <a:off x="1350360" y="10056960"/>
          <a:ext cx="2697120" cy="7005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Device configuration settings per highlighted selections above </a:t>
          </a:r>
          <a:r>
            <a:rPr lang="de-DE" sz="1000" strike="noStrike">
              <a:solidFill>
                <a:srgbClr val="000000"/>
              </a:solidFill>
              <a:latin typeface="Arial"/>
            </a:rPr>
            <a:t>(configured at program time)</a:t>
          </a:r>
          <a:endParaRPr/>
        </a:p>
      </xdr:txBody>
    </xdr:sp>
    <xdr:clientData/>
  </xdr:twoCellAnchor>
  <xdr:twoCellAnchor editAs="oneCell">
    <xdr:from>
      <xdr:col>14</xdr:col>
      <xdr:colOff>270720</xdr:colOff>
      <xdr:row>83</xdr:row>
      <xdr:rowOff>74880</xdr:rowOff>
    </xdr:from>
    <xdr:to>
      <xdr:col>21</xdr:col>
      <xdr:colOff>476640</xdr:colOff>
      <xdr:row>86</xdr:row>
      <xdr:rowOff>21240</xdr:rowOff>
    </xdr:to>
    <xdr:sp>
      <xdr:nvSpPr>
        <xdr:cNvPr id="250" name="CustomShape 1"/>
        <xdr:cNvSpPr/>
      </xdr:nvSpPr>
      <xdr:spPr>
        <a:xfrm>
          <a:off x="8201520" y="14834520"/>
          <a:ext cx="4023000" cy="479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Harmony functions to configure clocks at run time</a:t>
          </a:r>
          <a:endParaRPr/>
        </a:p>
        <a:p>
          <a:pPr algn="ctr">
            <a:lnSpc>
              <a:spcPct val="100000"/>
            </a:lnSpc>
          </a:pPr>
          <a:r>
            <a:rPr lang="de-DE" sz="1000" strike="noStrike">
              <a:solidFill>
                <a:srgbClr val="000000"/>
              </a:solidFill>
              <a:latin typeface="Arial"/>
            </a:rPr>
            <a:t>(for reference only...not controlled by selections above)</a:t>
          </a:r>
          <a:endParaRPr/>
        </a:p>
      </xdr:txBody>
    </xdr:sp>
    <xdr:clientData/>
  </xdr:twoCellAnchor>
  <xdr:twoCellAnchor editAs="oneCell">
    <xdr:from>
      <xdr:col>7</xdr:col>
      <xdr:colOff>509040</xdr:colOff>
      <xdr:row>10</xdr:row>
      <xdr:rowOff>82440</xdr:rowOff>
    </xdr:from>
    <xdr:to>
      <xdr:col>8</xdr:col>
      <xdr:colOff>300960</xdr:colOff>
      <xdr:row>12</xdr:row>
      <xdr:rowOff>89640</xdr:rowOff>
    </xdr:to>
    <xdr:sp>
      <xdr:nvSpPr>
        <xdr:cNvPr id="251" name="CustomShape 1"/>
        <xdr:cNvSpPr/>
      </xdr:nvSpPr>
      <xdr:spPr>
        <a:xfrm>
          <a:off x="3738600" y="2017800"/>
          <a:ext cx="55188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FRC Divider</a:t>
          </a:r>
          <a:endParaRPr/>
        </a:p>
      </xdr:txBody>
    </xdr:sp>
    <xdr:clientData/>
  </xdr:twoCellAnchor>
  <xdr:twoCellAnchor editAs="oneCell">
    <xdr:from>
      <xdr:col>5</xdr:col>
      <xdr:colOff>331920</xdr:colOff>
      <xdr:row>11</xdr:row>
      <xdr:rowOff>78480</xdr:rowOff>
    </xdr:from>
    <xdr:to>
      <xdr:col>7</xdr:col>
      <xdr:colOff>508680</xdr:colOff>
      <xdr:row>11</xdr:row>
      <xdr:rowOff>82080</xdr:rowOff>
    </xdr:to>
    <xdr:sp>
      <xdr:nvSpPr>
        <xdr:cNvPr id="252" name="CustomShape 1"/>
        <xdr:cNvSpPr/>
      </xdr:nvSpPr>
      <xdr:spPr>
        <a:xfrm>
          <a:off x="2338200" y="2196720"/>
          <a:ext cx="140004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301320</xdr:colOff>
      <xdr:row>11</xdr:row>
      <xdr:rowOff>79920</xdr:rowOff>
    </xdr:from>
    <xdr:to>
      <xdr:col>9</xdr:col>
      <xdr:colOff>506880</xdr:colOff>
      <xdr:row>11</xdr:row>
      <xdr:rowOff>82080</xdr:rowOff>
    </xdr:to>
    <xdr:sp>
      <xdr:nvSpPr>
        <xdr:cNvPr id="253" name="CustomShape 1"/>
        <xdr:cNvSpPr/>
      </xdr:nvSpPr>
      <xdr:spPr>
        <a:xfrm flipV="1">
          <a:off x="4290840" y="2198160"/>
          <a:ext cx="96552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118440</xdr:colOff>
      <xdr:row>6</xdr:row>
      <xdr:rowOff>90000</xdr:rowOff>
    </xdr:from>
    <xdr:to>
      <xdr:col>5</xdr:col>
      <xdr:colOff>253440</xdr:colOff>
      <xdr:row>8</xdr:row>
      <xdr:rowOff>104760</xdr:rowOff>
    </xdr:to>
    <xdr:sp>
      <xdr:nvSpPr>
        <xdr:cNvPr id="254" name="CustomShape 1"/>
        <xdr:cNvSpPr/>
      </xdr:nvSpPr>
      <xdr:spPr>
        <a:xfrm>
          <a:off x="1717200" y="1324440"/>
          <a:ext cx="5425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FRC Tune</a:t>
          </a:r>
          <a:endParaRPr/>
        </a:p>
      </xdr:txBody>
    </xdr:sp>
    <xdr:clientData/>
  </xdr:twoCellAnchor>
  <xdr:twoCellAnchor editAs="oneCell">
    <xdr:from>
      <xdr:col>4</xdr:col>
      <xdr:colOff>380520</xdr:colOff>
      <xdr:row>8</xdr:row>
      <xdr:rowOff>105480</xdr:rowOff>
    </xdr:from>
    <xdr:to>
      <xdr:col>4</xdr:col>
      <xdr:colOff>383040</xdr:colOff>
      <xdr:row>9</xdr:row>
      <xdr:rowOff>158400</xdr:rowOff>
    </xdr:to>
    <xdr:sp>
      <xdr:nvSpPr>
        <xdr:cNvPr id="255" name="CustomShape 1"/>
        <xdr:cNvSpPr/>
      </xdr:nvSpPr>
      <xdr:spPr>
        <a:xfrm flipH="1">
          <a:off x="1979280" y="1690200"/>
          <a:ext cx="2520" cy="2282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225000</xdr:colOff>
      <xdr:row>9</xdr:row>
      <xdr:rowOff>113040</xdr:rowOff>
    </xdr:from>
    <xdr:to>
      <xdr:col>3</xdr:col>
      <xdr:colOff>433800</xdr:colOff>
      <xdr:row>13</xdr:row>
      <xdr:rowOff>43920</xdr:rowOff>
    </xdr:to>
    <xdr:sp>
      <xdr:nvSpPr>
        <xdr:cNvPr id="256" name="CustomShape 1"/>
        <xdr:cNvSpPr/>
      </xdr:nvSpPr>
      <xdr:spPr>
        <a:xfrm>
          <a:off x="553680" y="1873080"/>
          <a:ext cx="89100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Internal Fast RC Oscillator</a:t>
          </a:r>
          <a:endParaRPr/>
        </a:p>
      </xdr:txBody>
    </xdr:sp>
    <xdr:clientData/>
  </xdr:twoCellAnchor>
  <xdr:twoCellAnchor editAs="oneCell">
    <xdr:from>
      <xdr:col>1</xdr:col>
      <xdr:colOff>225000</xdr:colOff>
      <xdr:row>25</xdr:row>
      <xdr:rowOff>105480</xdr:rowOff>
    </xdr:from>
    <xdr:to>
      <xdr:col>3</xdr:col>
      <xdr:colOff>433800</xdr:colOff>
      <xdr:row>29</xdr:row>
      <xdr:rowOff>44280</xdr:rowOff>
    </xdr:to>
    <xdr:sp>
      <xdr:nvSpPr>
        <xdr:cNvPr id="257" name="CustomShape 1"/>
        <xdr:cNvSpPr/>
      </xdr:nvSpPr>
      <xdr:spPr>
        <a:xfrm>
          <a:off x="553680" y="4677480"/>
          <a:ext cx="89100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External Primany Oscillator</a:t>
          </a:r>
          <a:endParaRPr/>
        </a:p>
      </xdr:txBody>
    </xdr:sp>
    <xdr:clientData/>
  </xdr:twoCellAnchor>
  <xdr:twoCellAnchor editAs="oneCell">
    <xdr:from>
      <xdr:col>9</xdr:col>
      <xdr:colOff>548640</xdr:colOff>
      <xdr:row>24</xdr:row>
      <xdr:rowOff>29160</xdr:rowOff>
    </xdr:from>
    <xdr:to>
      <xdr:col>10</xdr:col>
      <xdr:colOff>510840</xdr:colOff>
      <xdr:row>25</xdr:row>
      <xdr:rowOff>114480</xdr:rowOff>
    </xdr:to>
    <xdr:sp>
      <xdr:nvSpPr>
        <xdr:cNvPr id="258" name="CustomShape 1"/>
        <xdr:cNvSpPr/>
      </xdr:nvSpPr>
      <xdr:spPr>
        <a:xfrm>
          <a:off x="5298120" y="442584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9</xdr:col>
      <xdr:colOff>512640</xdr:colOff>
      <xdr:row>10</xdr:row>
      <xdr:rowOff>128160</xdr:rowOff>
    </xdr:from>
    <xdr:to>
      <xdr:col>10</xdr:col>
      <xdr:colOff>741240</xdr:colOff>
      <xdr:row>12</xdr:row>
      <xdr:rowOff>30600</xdr:rowOff>
    </xdr:to>
    <xdr:sp>
      <xdr:nvSpPr>
        <xdr:cNvPr id="259" name="CustomShape 1"/>
        <xdr:cNvSpPr/>
      </xdr:nvSpPr>
      <xdr:spPr>
        <a:xfrm>
          <a:off x="5262120" y="2063520"/>
          <a:ext cx="8791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FRCDIV =</a:t>
          </a:r>
          <a:endParaRPr/>
        </a:p>
      </xdr:txBody>
    </xdr:sp>
    <xdr:clientData/>
  </xdr:twoCellAnchor>
  <xdr:twoCellAnchor editAs="oneCell">
    <xdr:from>
      <xdr:col>18</xdr:col>
      <xdr:colOff>337680</xdr:colOff>
      <xdr:row>16</xdr:row>
      <xdr:rowOff>135720</xdr:rowOff>
    </xdr:from>
    <xdr:to>
      <xdr:col>20</xdr:col>
      <xdr:colOff>119520</xdr:colOff>
      <xdr:row>18</xdr:row>
      <xdr:rowOff>45720</xdr:rowOff>
    </xdr:to>
    <xdr:sp>
      <xdr:nvSpPr>
        <xdr:cNvPr id="260" name="CustomShape 1"/>
        <xdr:cNvSpPr/>
      </xdr:nvSpPr>
      <xdr:spPr>
        <a:xfrm>
          <a:off x="10690560" y="3130200"/>
          <a:ext cx="69876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SPLL =</a:t>
          </a:r>
          <a:endParaRPr/>
        </a:p>
      </xdr:txBody>
    </xdr:sp>
    <xdr:clientData/>
  </xdr:twoCellAnchor>
  <xdr:twoCellAnchor editAs="oneCell">
    <xdr:from>
      <xdr:col>11</xdr:col>
      <xdr:colOff>164160</xdr:colOff>
      <xdr:row>28</xdr:row>
      <xdr:rowOff>42480</xdr:rowOff>
    </xdr:from>
    <xdr:to>
      <xdr:col>12</xdr:col>
      <xdr:colOff>377280</xdr:colOff>
      <xdr:row>30</xdr:row>
      <xdr:rowOff>57240</xdr:rowOff>
    </xdr:to>
    <xdr:sp>
      <xdr:nvSpPr>
        <xdr:cNvPr id="261" name="CustomShape 1"/>
        <xdr:cNvSpPr/>
      </xdr:nvSpPr>
      <xdr:spPr>
        <a:xfrm>
          <a:off x="6324120" y="5140080"/>
          <a:ext cx="69876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USB PLL</a:t>
          </a:r>
          <a:endParaRPr/>
        </a:p>
      </xdr:txBody>
    </xdr:sp>
    <xdr:clientData/>
  </xdr:twoCellAnchor>
  <xdr:twoCellAnchor editAs="oneCell">
    <xdr:from>
      <xdr:col>11</xdr:col>
      <xdr:colOff>179280</xdr:colOff>
      <xdr:row>31</xdr:row>
      <xdr:rowOff>107280</xdr:rowOff>
    </xdr:from>
    <xdr:to>
      <xdr:col>12</xdr:col>
      <xdr:colOff>369360</xdr:colOff>
      <xdr:row>33</xdr:row>
      <xdr:rowOff>122040</xdr:rowOff>
    </xdr:to>
    <xdr:sp>
      <xdr:nvSpPr>
        <xdr:cNvPr id="262" name="CustomShape 1"/>
        <xdr:cNvSpPr/>
      </xdr:nvSpPr>
      <xdr:spPr>
        <a:xfrm>
          <a:off x="6339240" y="5730840"/>
          <a:ext cx="67572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USB PLL Enable</a:t>
          </a:r>
          <a:endParaRPr/>
        </a:p>
      </xdr:txBody>
    </xdr:sp>
    <xdr:clientData/>
  </xdr:twoCellAnchor>
  <xdr:twoCellAnchor editAs="oneCell">
    <xdr:from>
      <xdr:col>12</xdr:col>
      <xdr:colOff>34560</xdr:colOff>
      <xdr:row>30</xdr:row>
      <xdr:rowOff>57600</xdr:rowOff>
    </xdr:from>
    <xdr:to>
      <xdr:col>12</xdr:col>
      <xdr:colOff>38160</xdr:colOff>
      <xdr:row>31</xdr:row>
      <xdr:rowOff>106920</xdr:rowOff>
    </xdr:to>
    <xdr:sp>
      <xdr:nvSpPr>
        <xdr:cNvPr id="263" name="CustomShape 1"/>
        <xdr:cNvSpPr/>
      </xdr:nvSpPr>
      <xdr:spPr>
        <a:xfrm flipH="1" flipV="1">
          <a:off x="6680160" y="5505840"/>
          <a:ext cx="3600" cy="2246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223200</xdr:colOff>
      <xdr:row>29</xdr:row>
      <xdr:rowOff>50040</xdr:rowOff>
    </xdr:from>
    <xdr:to>
      <xdr:col>11</xdr:col>
      <xdr:colOff>163800</xdr:colOff>
      <xdr:row>29</xdr:row>
      <xdr:rowOff>51480</xdr:rowOff>
    </xdr:to>
    <xdr:sp>
      <xdr:nvSpPr>
        <xdr:cNvPr id="264" name="CustomShape 1"/>
        <xdr:cNvSpPr/>
      </xdr:nvSpPr>
      <xdr:spPr>
        <a:xfrm flipV="1">
          <a:off x="4972680" y="5322960"/>
          <a:ext cx="135108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225000</xdr:colOff>
      <xdr:row>24</xdr:row>
      <xdr:rowOff>151200</xdr:rowOff>
    </xdr:from>
    <xdr:to>
      <xdr:col>9</xdr:col>
      <xdr:colOff>232200</xdr:colOff>
      <xdr:row>29</xdr:row>
      <xdr:rowOff>51840</xdr:rowOff>
    </xdr:to>
    <xdr:sp>
      <xdr:nvSpPr>
        <xdr:cNvPr id="265" name="CustomShape 1"/>
        <xdr:cNvSpPr/>
      </xdr:nvSpPr>
      <xdr:spPr>
        <a:xfrm>
          <a:off x="4974480" y="4547880"/>
          <a:ext cx="7200" cy="77688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377640</xdr:colOff>
      <xdr:row>29</xdr:row>
      <xdr:rowOff>48600</xdr:rowOff>
    </xdr:from>
    <xdr:to>
      <xdr:col>13</xdr:col>
      <xdr:colOff>179280</xdr:colOff>
      <xdr:row>29</xdr:row>
      <xdr:rowOff>48960</xdr:rowOff>
    </xdr:to>
    <xdr:sp>
      <xdr:nvSpPr>
        <xdr:cNvPr id="266" name="CustomShape 1"/>
        <xdr:cNvSpPr/>
      </xdr:nvSpPr>
      <xdr:spPr>
        <a:xfrm flipV="1">
          <a:off x="7023240" y="5321520"/>
          <a:ext cx="32688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184320</xdr:colOff>
      <xdr:row>28</xdr:row>
      <xdr:rowOff>90000</xdr:rowOff>
    </xdr:from>
    <xdr:to>
      <xdr:col>14</xdr:col>
      <xdr:colOff>239760</xdr:colOff>
      <xdr:row>29</xdr:row>
      <xdr:rowOff>175320</xdr:rowOff>
    </xdr:to>
    <xdr:sp>
      <xdr:nvSpPr>
        <xdr:cNvPr id="267" name="CustomShape 1"/>
        <xdr:cNvSpPr/>
      </xdr:nvSpPr>
      <xdr:spPr>
        <a:xfrm>
          <a:off x="7355160" y="5187600"/>
          <a:ext cx="8154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USBCLK</a:t>
          </a:r>
          <a:endParaRPr/>
        </a:p>
      </xdr:txBody>
    </xdr:sp>
    <xdr:clientData/>
  </xdr:twoCellAnchor>
  <xdr:twoCellAnchor editAs="oneCell">
    <xdr:from>
      <xdr:col>5</xdr:col>
      <xdr:colOff>251640</xdr:colOff>
      <xdr:row>46</xdr:row>
      <xdr:rowOff>41040</xdr:rowOff>
    </xdr:from>
    <xdr:to>
      <xdr:col>8</xdr:col>
      <xdr:colOff>491400</xdr:colOff>
      <xdr:row>46</xdr:row>
      <xdr:rowOff>41400</xdr:rowOff>
    </xdr:to>
    <xdr:sp>
      <xdr:nvSpPr>
        <xdr:cNvPr id="268" name="CustomShape 1"/>
        <xdr:cNvSpPr/>
      </xdr:nvSpPr>
      <xdr:spPr>
        <a:xfrm flipV="1">
          <a:off x="2257920" y="8293320"/>
          <a:ext cx="222300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106920</xdr:colOff>
      <xdr:row>45</xdr:row>
      <xdr:rowOff>141480</xdr:rowOff>
    </xdr:from>
    <xdr:to>
      <xdr:col>5</xdr:col>
      <xdr:colOff>251280</xdr:colOff>
      <xdr:row>46</xdr:row>
      <xdr:rowOff>118080</xdr:rowOff>
    </xdr:to>
    <xdr:sp>
      <xdr:nvSpPr>
        <xdr:cNvPr id="269" name="CustomShape 1"/>
        <xdr:cNvSpPr/>
      </xdr:nvSpPr>
      <xdr:spPr>
        <a:xfrm>
          <a:off x="2113200" y="8218440"/>
          <a:ext cx="144360" cy="1519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101160</xdr:colOff>
      <xdr:row>45</xdr:row>
      <xdr:rowOff>135720</xdr:rowOff>
    </xdr:from>
    <xdr:to>
      <xdr:col>5</xdr:col>
      <xdr:colOff>249840</xdr:colOff>
      <xdr:row>46</xdr:row>
      <xdr:rowOff>120240</xdr:rowOff>
    </xdr:to>
    <xdr:sp>
      <xdr:nvSpPr>
        <xdr:cNvPr id="270" name="Line 1"/>
        <xdr:cNvSpPr/>
      </xdr:nvSpPr>
      <xdr:spPr>
        <a:xfrm flipV="1">
          <a:off x="2107440" y="8212680"/>
          <a:ext cx="148680" cy="159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106920</xdr:colOff>
      <xdr:row>45</xdr:row>
      <xdr:rowOff>145080</xdr:rowOff>
    </xdr:from>
    <xdr:to>
      <xdr:col>5</xdr:col>
      <xdr:colOff>257400</xdr:colOff>
      <xdr:row>46</xdr:row>
      <xdr:rowOff>118440</xdr:rowOff>
    </xdr:to>
    <xdr:sp>
      <xdr:nvSpPr>
        <xdr:cNvPr id="271" name="Line 1"/>
        <xdr:cNvSpPr/>
      </xdr:nvSpPr>
      <xdr:spPr>
        <a:xfrm flipH="1" flipV="1">
          <a:off x="2113200" y="8222040"/>
          <a:ext cx="150480" cy="1486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109080</xdr:colOff>
      <xdr:row>50</xdr:row>
      <xdr:rowOff>150840</xdr:rowOff>
    </xdr:from>
    <xdr:to>
      <xdr:col>5</xdr:col>
      <xdr:colOff>253440</xdr:colOff>
      <xdr:row>51</xdr:row>
      <xdr:rowOff>120240</xdr:rowOff>
    </xdr:to>
    <xdr:sp>
      <xdr:nvSpPr>
        <xdr:cNvPr id="272" name="CustomShape 1"/>
        <xdr:cNvSpPr/>
      </xdr:nvSpPr>
      <xdr:spPr>
        <a:xfrm>
          <a:off x="2115360" y="910404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102960</xdr:colOff>
      <xdr:row>50</xdr:row>
      <xdr:rowOff>145080</xdr:rowOff>
    </xdr:from>
    <xdr:to>
      <xdr:col>5</xdr:col>
      <xdr:colOff>251640</xdr:colOff>
      <xdr:row>51</xdr:row>
      <xdr:rowOff>122400</xdr:rowOff>
    </xdr:to>
    <xdr:sp>
      <xdr:nvSpPr>
        <xdr:cNvPr id="273" name="Line 1"/>
        <xdr:cNvSpPr/>
      </xdr:nvSpPr>
      <xdr:spPr>
        <a:xfrm flipV="1">
          <a:off x="2109240" y="9098280"/>
          <a:ext cx="148680" cy="1526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108720</xdr:colOff>
      <xdr:row>50</xdr:row>
      <xdr:rowOff>154080</xdr:rowOff>
    </xdr:from>
    <xdr:to>
      <xdr:col>5</xdr:col>
      <xdr:colOff>259200</xdr:colOff>
      <xdr:row>51</xdr:row>
      <xdr:rowOff>120600</xdr:rowOff>
    </xdr:to>
    <xdr:sp>
      <xdr:nvSpPr>
        <xdr:cNvPr id="274" name="Line 1"/>
        <xdr:cNvSpPr/>
      </xdr:nvSpPr>
      <xdr:spPr>
        <a:xfrm flipH="1" flipV="1">
          <a:off x="2115000" y="9107280"/>
          <a:ext cx="150480" cy="141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5</xdr:col>
      <xdr:colOff>253440</xdr:colOff>
      <xdr:row>51</xdr:row>
      <xdr:rowOff>47880</xdr:rowOff>
    </xdr:from>
    <xdr:to>
      <xdr:col>6</xdr:col>
      <xdr:colOff>377280</xdr:colOff>
      <xdr:row>51</xdr:row>
      <xdr:rowOff>47880</xdr:rowOff>
    </xdr:to>
    <xdr:sp>
      <xdr:nvSpPr>
        <xdr:cNvPr id="275" name="Line 1"/>
        <xdr:cNvSpPr/>
      </xdr:nvSpPr>
      <xdr:spPr>
        <a:xfrm flipH="1">
          <a:off x="2259720" y="9176400"/>
          <a:ext cx="727920" cy="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49</xdr:row>
      <xdr:rowOff>129960</xdr:rowOff>
    </xdr:from>
    <xdr:to>
      <xdr:col>5</xdr:col>
      <xdr:colOff>516600</xdr:colOff>
      <xdr:row>51</xdr:row>
      <xdr:rowOff>47880</xdr:rowOff>
    </xdr:to>
    <xdr:sp>
      <xdr:nvSpPr>
        <xdr:cNvPr id="276" name="Line 1"/>
        <xdr:cNvSpPr/>
      </xdr:nvSpPr>
      <xdr:spPr>
        <a:xfrm>
          <a:off x="2517480" y="8908200"/>
          <a:ext cx="5400" cy="2682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511200</xdr:colOff>
      <xdr:row>47</xdr:row>
      <xdr:rowOff>127800</xdr:rowOff>
    </xdr:from>
    <xdr:to>
      <xdr:col>6</xdr:col>
      <xdr:colOff>2880</xdr:colOff>
      <xdr:row>47</xdr:row>
      <xdr:rowOff>160920</xdr:rowOff>
    </xdr:to>
    <xdr:sp>
      <xdr:nvSpPr>
        <xdr:cNvPr id="277" name="Line 1"/>
        <xdr:cNvSpPr/>
      </xdr:nvSpPr>
      <xdr:spPr>
        <a:xfrm>
          <a:off x="2517480" y="8555400"/>
          <a:ext cx="95760" cy="33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505800</xdr:colOff>
      <xdr:row>49</xdr:row>
      <xdr:rowOff>89640</xdr:rowOff>
    </xdr:from>
    <xdr:to>
      <xdr:col>5</xdr:col>
      <xdr:colOff>604440</xdr:colOff>
      <xdr:row>49</xdr:row>
      <xdr:rowOff>127800</xdr:rowOff>
    </xdr:to>
    <xdr:sp>
      <xdr:nvSpPr>
        <xdr:cNvPr id="278" name="Line 1"/>
        <xdr:cNvSpPr/>
      </xdr:nvSpPr>
      <xdr:spPr>
        <a:xfrm flipV="1">
          <a:off x="2512080" y="8867880"/>
          <a:ext cx="98640" cy="3816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48</xdr:row>
      <xdr:rowOff>54720</xdr:rowOff>
    </xdr:from>
    <xdr:to>
      <xdr:col>6</xdr:col>
      <xdr:colOff>5760</xdr:colOff>
      <xdr:row>48</xdr:row>
      <xdr:rowOff>124200</xdr:rowOff>
    </xdr:to>
    <xdr:sp>
      <xdr:nvSpPr>
        <xdr:cNvPr id="279" name="Line 1"/>
        <xdr:cNvSpPr/>
      </xdr:nvSpPr>
      <xdr:spPr>
        <a:xfrm>
          <a:off x="2415960" y="865764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409680</xdr:colOff>
      <xdr:row>49</xdr:row>
      <xdr:rowOff>23760</xdr:rowOff>
    </xdr:from>
    <xdr:to>
      <xdr:col>6</xdr:col>
      <xdr:colOff>5760</xdr:colOff>
      <xdr:row>49</xdr:row>
      <xdr:rowOff>93240</xdr:rowOff>
    </xdr:to>
    <xdr:sp>
      <xdr:nvSpPr>
        <xdr:cNvPr id="280" name="Line 1"/>
        <xdr:cNvSpPr/>
      </xdr:nvSpPr>
      <xdr:spPr>
        <a:xfrm>
          <a:off x="2415960" y="8802000"/>
          <a:ext cx="20016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415080</xdr:colOff>
      <xdr:row>47</xdr:row>
      <xdr:rowOff>159120</xdr:rowOff>
    </xdr:from>
    <xdr:to>
      <xdr:col>5</xdr:col>
      <xdr:colOff>604440</xdr:colOff>
      <xdr:row>48</xdr:row>
      <xdr:rowOff>52920</xdr:rowOff>
    </xdr:to>
    <xdr:sp>
      <xdr:nvSpPr>
        <xdr:cNvPr id="281" name="Line 1"/>
        <xdr:cNvSpPr/>
      </xdr:nvSpPr>
      <xdr:spPr>
        <a:xfrm flipV="1">
          <a:off x="2421360" y="8586720"/>
          <a:ext cx="189360" cy="6912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420840</xdr:colOff>
      <xdr:row>48</xdr:row>
      <xdr:rowOff>126000</xdr:rowOff>
    </xdr:from>
    <xdr:to>
      <xdr:col>6</xdr:col>
      <xdr:colOff>5760</xdr:colOff>
      <xdr:row>49</xdr:row>
      <xdr:rowOff>20160</xdr:rowOff>
    </xdr:to>
    <xdr:sp>
      <xdr:nvSpPr>
        <xdr:cNvPr id="282" name="Line 1"/>
        <xdr:cNvSpPr/>
      </xdr:nvSpPr>
      <xdr:spPr>
        <a:xfrm flipV="1">
          <a:off x="2427120" y="8728920"/>
          <a:ext cx="189000" cy="6948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508320</xdr:colOff>
      <xdr:row>46</xdr:row>
      <xdr:rowOff>38520</xdr:rowOff>
    </xdr:from>
    <xdr:to>
      <xdr:col>5</xdr:col>
      <xdr:colOff>511200</xdr:colOff>
      <xdr:row>47</xdr:row>
      <xdr:rowOff>127800</xdr:rowOff>
    </xdr:to>
    <xdr:sp>
      <xdr:nvSpPr>
        <xdr:cNvPr id="283" name="Line 1"/>
        <xdr:cNvSpPr/>
      </xdr:nvSpPr>
      <xdr:spPr>
        <a:xfrm>
          <a:off x="2514600" y="8290800"/>
          <a:ext cx="2880" cy="2646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367920</xdr:colOff>
      <xdr:row>46</xdr:row>
      <xdr:rowOff>46080</xdr:rowOff>
    </xdr:from>
    <xdr:to>
      <xdr:col>6</xdr:col>
      <xdr:colOff>367920</xdr:colOff>
      <xdr:row>51</xdr:row>
      <xdr:rowOff>53640</xdr:rowOff>
    </xdr:to>
    <xdr:sp>
      <xdr:nvSpPr>
        <xdr:cNvPr id="284" name="Line 1"/>
        <xdr:cNvSpPr/>
      </xdr:nvSpPr>
      <xdr:spPr>
        <a:xfrm flipV="1">
          <a:off x="2978280" y="8298360"/>
          <a:ext cx="0" cy="883800"/>
        </a:xfrm>
        <a:prstGeom prst="line">
          <a:avLst/>
        </a:prstGeom>
        <a:ln w="25560">
          <a:solidFill>
            <a:schemeClr val="tx1"/>
          </a:solidFill>
          <a:round/>
        </a:ln>
      </xdr:spPr>
    </xdr:sp>
    <xdr:clientData/>
  </xdr:twoCellAnchor>
  <xdr:twoCellAnchor editAs="absolute">
    <xdr:from>
      <xdr:col>6</xdr:col>
      <xdr:colOff>569880</xdr:colOff>
      <xdr:row>49</xdr:row>
      <xdr:rowOff>113760</xdr:rowOff>
    </xdr:from>
    <xdr:to>
      <xdr:col>7</xdr:col>
      <xdr:colOff>354240</xdr:colOff>
      <xdr:row>51</xdr:row>
      <xdr:rowOff>106560</xdr:rowOff>
    </xdr:to>
    <xdr:sp>
      <xdr:nvSpPr>
        <xdr:cNvPr id="285" name="CustomShape 1"/>
        <xdr:cNvSpPr/>
      </xdr:nvSpPr>
      <xdr:spPr>
        <a:xfrm rot="10800000">
          <a:off x="3180240" y="8892000"/>
          <a:ext cx="403560" cy="343080"/>
        </a:xfrm>
        <a:prstGeom prst="triangle">
          <a:avLst>
            <a:gd name="adj" fmla="val 50000"/>
          </a:avLst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347400</xdr:colOff>
      <xdr:row>49</xdr:row>
      <xdr:rowOff>111960</xdr:rowOff>
    </xdr:from>
    <xdr:to>
      <xdr:col>6</xdr:col>
      <xdr:colOff>392040</xdr:colOff>
      <xdr:row>49</xdr:row>
      <xdr:rowOff>155520</xdr:rowOff>
    </xdr:to>
    <xdr:sp>
      <xdr:nvSpPr>
        <xdr:cNvPr id="286" name="CustomShape 1"/>
        <xdr:cNvSpPr/>
      </xdr:nvSpPr>
      <xdr:spPr>
        <a:xfrm>
          <a:off x="2957760" y="8890200"/>
          <a:ext cx="44640" cy="4356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468360</xdr:colOff>
      <xdr:row>48</xdr:row>
      <xdr:rowOff>116640</xdr:rowOff>
    </xdr:from>
    <xdr:to>
      <xdr:col>7</xdr:col>
      <xdr:colOff>290880</xdr:colOff>
      <xdr:row>48</xdr:row>
      <xdr:rowOff>117000</xdr:rowOff>
    </xdr:to>
    <xdr:sp>
      <xdr:nvSpPr>
        <xdr:cNvPr id="287" name="CustomShape 1"/>
        <xdr:cNvSpPr/>
      </xdr:nvSpPr>
      <xdr:spPr>
        <a:xfrm flipH="1">
          <a:off x="3078720" y="8719560"/>
          <a:ext cx="4417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291960</xdr:colOff>
      <xdr:row>47</xdr:row>
      <xdr:rowOff>109080</xdr:rowOff>
    </xdr:from>
    <xdr:to>
      <xdr:col>8</xdr:col>
      <xdr:colOff>26640</xdr:colOff>
      <xdr:row>49</xdr:row>
      <xdr:rowOff>123840</xdr:rowOff>
    </xdr:to>
    <xdr:sp>
      <xdr:nvSpPr>
        <xdr:cNvPr id="288" name="CustomShape 1"/>
        <xdr:cNvSpPr/>
      </xdr:nvSpPr>
      <xdr:spPr>
        <a:xfrm>
          <a:off x="3521520" y="8536680"/>
          <a:ext cx="49464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SOSC Enable</a:t>
          </a:r>
          <a:endParaRPr/>
        </a:p>
      </xdr:txBody>
    </xdr:sp>
    <xdr:clientData/>
  </xdr:twoCellAnchor>
  <xdr:twoCellAnchor editAs="oneCell">
    <xdr:from>
      <xdr:col>3</xdr:col>
      <xdr:colOff>583200</xdr:colOff>
      <xdr:row>47</xdr:row>
      <xdr:rowOff>139680</xdr:rowOff>
    </xdr:from>
    <xdr:to>
      <xdr:col>5</xdr:col>
      <xdr:colOff>277920</xdr:colOff>
      <xdr:row>49</xdr:row>
      <xdr:rowOff>162360</xdr:rowOff>
    </xdr:to>
    <xdr:sp>
      <xdr:nvSpPr>
        <xdr:cNvPr id="289" name="CustomShape 1"/>
        <xdr:cNvSpPr/>
      </xdr:nvSpPr>
      <xdr:spPr>
        <a:xfrm>
          <a:off x="1594080" y="8567280"/>
          <a:ext cx="690120" cy="3733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SOSC Oscillator</a:t>
          </a:r>
          <a:endParaRPr/>
        </a:p>
      </xdr:txBody>
    </xdr:sp>
    <xdr:clientData/>
  </xdr:twoCellAnchor>
  <xdr:twoCellAnchor editAs="oneCell">
    <xdr:from>
      <xdr:col>1</xdr:col>
      <xdr:colOff>141480</xdr:colOff>
      <xdr:row>47</xdr:row>
      <xdr:rowOff>17640</xdr:rowOff>
    </xdr:from>
    <xdr:to>
      <xdr:col>3</xdr:col>
      <xdr:colOff>434160</xdr:colOff>
      <xdr:row>50</xdr:row>
      <xdr:rowOff>131760</xdr:rowOff>
    </xdr:to>
    <xdr:sp>
      <xdr:nvSpPr>
        <xdr:cNvPr id="290" name="CustomShape 1"/>
        <xdr:cNvSpPr/>
      </xdr:nvSpPr>
      <xdr:spPr>
        <a:xfrm>
          <a:off x="470160" y="8445240"/>
          <a:ext cx="97488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External Secondary Oscillator</a:t>
          </a:r>
          <a:endParaRPr/>
        </a:p>
      </xdr:txBody>
    </xdr:sp>
    <xdr:clientData/>
  </xdr:twoCellAnchor>
  <xdr:twoCellAnchor editAs="oneCell">
    <xdr:from>
      <xdr:col>4</xdr:col>
      <xdr:colOff>27000</xdr:colOff>
      <xdr:row>36</xdr:row>
      <xdr:rowOff>158760</xdr:rowOff>
    </xdr:from>
    <xdr:to>
      <xdr:col>5</xdr:col>
      <xdr:colOff>324000</xdr:colOff>
      <xdr:row>39</xdr:row>
      <xdr:rowOff>173880</xdr:rowOff>
    </xdr:to>
    <xdr:sp>
      <xdr:nvSpPr>
        <xdr:cNvPr id="291" name="CustomShape 1"/>
        <xdr:cNvSpPr/>
      </xdr:nvSpPr>
      <xdr:spPr>
        <a:xfrm>
          <a:off x="1625760" y="6658560"/>
          <a:ext cx="704520" cy="5407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BFRC Oscillator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8 MHz</a:t>
          </a:r>
          <a:endParaRPr/>
        </a:p>
      </xdr:txBody>
    </xdr:sp>
    <xdr:clientData/>
  </xdr:twoCellAnchor>
  <xdr:twoCellAnchor editAs="oneCell">
    <xdr:from>
      <xdr:col>4</xdr:col>
      <xdr:colOff>2880</xdr:colOff>
      <xdr:row>40</xdr:row>
      <xdr:rowOff>151200</xdr:rowOff>
    </xdr:from>
    <xdr:to>
      <xdr:col>5</xdr:col>
      <xdr:colOff>323640</xdr:colOff>
      <xdr:row>43</xdr:row>
      <xdr:rowOff>165960</xdr:rowOff>
    </xdr:to>
    <xdr:sp>
      <xdr:nvSpPr>
        <xdr:cNvPr id="292" name="CustomShape 1"/>
        <xdr:cNvSpPr/>
      </xdr:nvSpPr>
      <xdr:spPr>
        <a:xfrm>
          <a:off x="1601640" y="7351920"/>
          <a:ext cx="728280" cy="540720"/>
        </a:xfrm>
        <a:prstGeom prst="roundRect">
          <a:avLst>
            <a:gd name="adj" fmla="val 16667"/>
          </a:avLst>
        </a:prstGeom>
        <a:solidFill>
          <a:srgbClr val="697c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LPRC Oscillator</a:t>
          </a:r>
          <a:endParaRPr/>
        </a:p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32 KHz</a:t>
          </a:r>
          <a:endParaRPr/>
        </a:p>
      </xdr:txBody>
    </xdr:sp>
    <xdr:clientData/>
  </xdr:twoCellAnchor>
  <xdr:twoCellAnchor editAs="oneCell">
    <xdr:from>
      <xdr:col>5</xdr:col>
      <xdr:colOff>324360</xdr:colOff>
      <xdr:row>38</xdr:row>
      <xdr:rowOff>78480</xdr:rowOff>
    </xdr:from>
    <xdr:to>
      <xdr:col>6</xdr:col>
      <xdr:colOff>324000</xdr:colOff>
      <xdr:row>38</xdr:row>
      <xdr:rowOff>79560</xdr:rowOff>
    </xdr:to>
    <xdr:sp>
      <xdr:nvSpPr>
        <xdr:cNvPr id="293" name="CustomShape 1"/>
        <xdr:cNvSpPr/>
      </xdr:nvSpPr>
      <xdr:spPr>
        <a:xfrm>
          <a:off x="2330640" y="6928560"/>
          <a:ext cx="60372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327960</xdr:colOff>
      <xdr:row>37</xdr:row>
      <xdr:rowOff>120600</xdr:rowOff>
    </xdr:from>
    <xdr:to>
      <xdr:col>7</xdr:col>
      <xdr:colOff>312840</xdr:colOff>
      <xdr:row>39</xdr:row>
      <xdr:rowOff>30960</xdr:rowOff>
    </xdr:to>
    <xdr:sp>
      <xdr:nvSpPr>
        <xdr:cNvPr id="294" name="CustomShape 1"/>
        <xdr:cNvSpPr/>
      </xdr:nvSpPr>
      <xdr:spPr>
        <a:xfrm>
          <a:off x="2938320" y="6795720"/>
          <a:ext cx="604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BFRC</a:t>
          </a:r>
          <a:endParaRPr/>
        </a:p>
      </xdr:txBody>
    </xdr:sp>
    <xdr:clientData/>
  </xdr:twoCellAnchor>
  <xdr:twoCellAnchor editAs="oneCell">
    <xdr:from>
      <xdr:col>5</xdr:col>
      <xdr:colOff>324360</xdr:colOff>
      <xdr:row>42</xdr:row>
      <xdr:rowOff>70920</xdr:rowOff>
    </xdr:from>
    <xdr:to>
      <xdr:col>6</xdr:col>
      <xdr:colOff>331560</xdr:colOff>
      <xdr:row>42</xdr:row>
      <xdr:rowOff>72000</xdr:rowOff>
    </xdr:to>
    <xdr:sp>
      <xdr:nvSpPr>
        <xdr:cNvPr id="295" name="CustomShape 1"/>
        <xdr:cNvSpPr/>
      </xdr:nvSpPr>
      <xdr:spPr>
        <a:xfrm>
          <a:off x="2330640" y="7622280"/>
          <a:ext cx="61128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6</xdr:col>
      <xdr:colOff>335520</xdr:colOff>
      <xdr:row>41</xdr:row>
      <xdr:rowOff>113040</xdr:rowOff>
    </xdr:from>
    <xdr:to>
      <xdr:col>7</xdr:col>
      <xdr:colOff>312120</xdr:colOff>
      <xdr:row>43</xdr:row>
      <xdr:rowOff>23040</xdr:rowOff>
    </xdr:to>
    <xdr:sp>
      <xdr:nvSpPr>
        <xdr:cNvPr id="296" name="CustomShape 1"/>
        <xdr:cNvSpPr/>
      </xdr:nvSpPr>
      <xdr:spPr>
        <a:xfrm>
          <a:off x="2945880" y="748908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8</xdr:col>
      <xdr:colOff>495360</xdr:colOff>
      <xdr:row>45</xdr:row>
      <xdr:rowOff>82440</xdr:rowOff>
    </xdr:from>
    <xdr:to>
      <xdr:col>9</xdr:col>
      <xdr:colOff>348120</xdr:colOff>
      <xdr:row>46</xdr:row>
      <xdr:rowOff>167760</xdr:rowOff>
    </xdr:to>
    <xdr:sp>
      <xdr:nvSpPr>
        <xdr:cNvPr id="297" name="CustomShape 1"/>
        <xdr:cNvSpPr/>
      </xdr:nvSpPr>
      <xdr:spPr>
        <a:xfrm>
          <a:off x="4484880" y="815940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6</xdr:col>
      <xdr:colOff>369720</xdr:colOff>
      <xdr:row>32</xdr:row>
      <xdr:rowOff>93600</xdr:rowOff>
    </xdr:from>
    <xdr:to>
      <xdr:col>7</xdr:col>
      <xdr:colOff>34560</xdr:colOff>
      <xdr:row>32</xdr:row>
      <xdr:rowOff>95040</xdr:rowOff>
    </xdr:to>
    <xdr:sp>
      <xdr:nvSpPr>
        <xdr:cNvPr id="298" name="Line 1"/>
        <xdr:cNvSpPr/>
      </xdr:nvSpPr>
      <xdr:spPr>
        <a:xfrm flipH="1" flipV="1">
          <a:off x="2980080" y="5892120"/>
          <a:ext cx="284040" cy="1440"/>
        </a:xfrm>
        <a:prstGeom prst="line">
          <a:avLst/>
        </a:prstGeom>
        <a:ln w="25560">
          <a:solidFill>
            <a:schemeClr val="tx1"/>
          </a:solidFill>
          <a:round/>
          <a:tailEnd len="med" type="triangle" w="med"/>
        </a:ln>
      </xdr:spPr>
    </xdr:sp>
    <xdr:clientData/>
  </xdr:twoCellAnchor>
  <xdr:twoCellAnchor editAs="oneCell">
    <xdr:from>
      <xdr:col>7</xdr:col>
      <xdr:colOff>41400</xdr:colOff>
      <xdr:row>31</xdr:row>
      <xdr:rowOff>135720</xdr:rowOff>
    </xdr:from>
    <xdr:to>
      <xdr:col>8</xdr:col>
      <xdr:colOff>455760</xdr:colOff>
      <xdr:row>33</xdr:row>
      <xdr:rowOff>46080</xdr:rowOff>
    </xdr:to>
    <xdr:sp>
      <xdr:nvSpPr>
        <xdr:cNvPr id="299" name="CustomShape 1"/>
        <xdr:cNvSpPr/>
      </xdr:nvSpPr>
      <xdr:spPr>
        <a:xfrm>
          <a:off x="3270960" y="5759280"/>
          <a:ext cx="11743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PBCLK1 ÷ 2 =</a:t>
          </a:r>
          <a:endParaRPr/>
        </a:p>
      </xdr:txBody>
    </xdr:sp>
    <xdr:clientData/>
  </xdr:twoCellAnchor>
  <xdr:twoCellAnchor editAs="oneCell">
    <xdr:from>
      <xdr:col>5</xdr:col>
      <xdr:colOff>293760</xdr:colOff>
      <xdr:row>31</xdr:row>
      <xdr:rowOff>86400</xdr:rowOff>
    </xdr:from>
    <xdr:to>
      <xdr:col>6</xdr:col>
      <xdr:colOff>369720</xdr:colOff>
      <xdr:row>33</xdr:row>
      <xdr:rowOff>101160</xdr:rowOff>
    </xdr:to>
    <xdr:sp>
      <xdr:nvSpPr>
        <xdr:cNvPr id="300" name="CustomShape 1"/>
        <xdr:cNvSpPr/>
      </xdr:nvSpPr>
      <xdr:spPr>
        <a:xfrm>
          <a:off x="2300040" y="5709960"/>
          <a:ext cx="680040" cy="36504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CLK Out Enable</a:t>
          </a:r>
          <a:endParaRPr/>
        </a:p>
      </xdr:txBody>
    </xdr:sp>
    <xdr:clientData/>
  </xdr:twoCellAnchor>
  <xdr:twoCellAnchor editAs="oneCell">
    <xdr:from>
      <xdr:col>6</xdr:col>
      <xdr:colOff>34560</xdr:colOff>
      <xdr:row>30</xdr:row>
      <xdr:rowOff>36720</xdr:rowOff>
    </xdr:from>
    <xdr:to>
      <xdr:col>6</xdr:col>
      <xdr:colOff>38160</xdr:colOff>
      <xdr:row>31</xdr:row>
      <xdr:rowOff>86040</xdr:rowOff>
    </xdr:to>
    <xdr:sp>
      <xdr:nvSpPr>
        <xdr:cNvPr id="301" name="CustomShape 1"/>
        <xdr:cNvSpPr/>
      </xdr:nvSpPr>
      <xdr:spPr>
        <a:xfrm flipH="1" flipV="1">
          <a:off x="2644920" y="5484960"/>
          <a:ext cx="3600" cy="2246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179280</xdr:colOff>
      <xdr:row>36</xdr:row>
      <xdr:rowOff>120600</xdr:rowOff>
    </xdr:from>
    <xdr:to>
      <xdr:col>3</xdr:col>
      <xdr:colOff>471960</xdr:colOff>
      <xdr:row>40</xdr:row>
      <xdr:rowOff>59400</xdr:rowOff>
    </xdr:to>
    <xdr:sp>
      <xdr:nvSpPr>
        <xdr:cNvPr id="302" name="CustomShape 1"/>
        <xdr:cNvSpPr/>
      </xdr:nvSpPr>
      <xdr:spPr>
        <a:xfrm>
          <a:off x="507960" y="6620400"/>
          <a:ext cx="97488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Backup RC Oscillator</a:t>
          </a:r>
          <a:endParaRPr/>
        </a:p>
      </xdr:txBody>
    </xdr:sp>
    <xdr:clientData/>
  </xdr:twoCellAnchor>
  <xdr:twoCellAnchor editAs="oneCell">
    <xdr:from>
      <xdr:col>1</xdr:col>
      <xdr:colOff>164160</xdr:colOff>
      <xdr:row>40</xdr:row>
      <xdr:rowOff>113040</xdr:rowOff>
    </xdr:from>
    <xdr:to>
      <xdr:col>3</xdr:col>
      <xdr:colOff>518040</xdr:colOff>
      <xdr:row>44</xdr:row>
      <xdr:rowOff>51840</xdr:rowOff>
    </xdr:to>
    <xdr:sp>
      <xdr:nvSpPr>
        <xdr:cNvPr id="303" name="CustomShape 1"/>
        <xdr:cNvSpPr/>
      </xdr:nvSpPr>
      <xdr:spPr>
        <a:xfrm>
          <a:off x="492840" y="7313760"/>
          <a:ext cx="1036080" cy="639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de-DE" sz="1200" strike="noStrike">
              <a:solidFill>
                <a:srgbClr val="000000"/>
              </a:solidFill>
              <a:latin typeface="Arial"/>
            </a:rPr>
            <a:t>Low Power RC Oscillator</a:t>
          </a:r>
          <a:endParaRPr/>
        </a:p>
      </xdr:txBody>
    </xdr:sp>
    <xdr:clientData/>
  </xdr:twoCellAnchor>
  <xdr:twoCellAnchor editAs="oneCell">
    <xdr:from>
      <xdr:col>13</xdr:col>
      <xdr:colOff>453600</xdr:colOff>
      <xdr:row>38</xdr:row>
      <xdr:rowOff>162360</xdr:rowOff>
    </xdr:from>
    <xdr:to>
      <xdr:col>13</xdr:col>
      <xdr:colOff>758160</xdr:colOff>
      <xdr:row>50</xdr:row>
      <xdr:rowOff>163800</xdr:rowOff>
    </xdr:to>
    <xdr:sp>
      <xdr:nvSpPr>
        <xdr:cNvPr id="304" name="CustomShape 1"/>
        <xdr:cNvSpPr/>
      </xdr:nvSpPr>
      <xdr:spPr>
        <a:xfrm>
          <a:off x="7624440" y="7012440"/>
          <a:ext cx="304560" cy="2104560"/>
        </a:xfrm>
        <a:prstGeom prst="trapezoid">
          <a:avLst>
            <a:gd name="adj" fmla="val 27000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201600</xdr:colOff>
      <xdr:row>39</xdr:row>
      <xdr:rowOff>169560</xdr:rowOff>
    </xdr:from>
    <xdr:to>
      <xdr:col>13</xdr:col>
      <xdr:colOff>443880</xdr:colOff>
      <xdr:row>39</xdr:row>
      <xdr:rowOff>169920</xdr:rowOff>
    </xdr:to>
    <xdr:sp>
      <xdr:nvSpPr>
        <xdr:cNvPr id="305" name="CustomShape 1"/>
        <xdr:cNvSpPr/>
      </xdr:nvSpPr>
      <xdr:spPr>
        <a:xfrm>
          <a:off x="6847200" y="7194960"/>
          <a:ext cx="7675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659880</xdr:colOff>
      <xdr:row>39</xdr:row>
      <xdr:rowOff>34920</xdr:rowOff>
    </xdr:from>
    <xdr:to>
      <xdr:col>12</xdr:col>
      <xdr:colOff>162360</xdr:colOff>
      <xdr:row>40</xdr:row>
      <xdr:rowOff>120240</xdr:rowOff>
    </xdr:to>
    <xdr:sp>
      <xdr:nvSpPr>
        <xdr:cNvPr id="306" name="CustomShape 1"/>
        <xdr:cNvSpPr/>
      </xdr:nvSpPr>
      <xdr:spPr>
        <a:xfrm>
          <a:off x="6059880" y="7060320"/>
          <a:ext cx="748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FRCDIV</a:t>
          </a:r>
          <a:endParaRPr/>
        </a:p>
      </xdr:txBody>
    </xdr:sp>
    <xdr:clientData/>
  </xdr:twoCellAnchor>
  <xdr:twoCellAnchor editAs="oneCell">
    <xdr:from>
      <xdr:col>12</xdr:col>
      <xdr:colOff>111960</xdr:colOff>
      <xdr:row>41</xdr:row>
      <xdr:rowOff>167760</xdr:rowOff>
    </xdr:from>
    <xdr:to>
      <xdr:col>13</xdr:col>
      <xdr:colOff>442080</xdr:colOff>
      <xdr:row>41</xdr:row>
      <xdr:rowOff>168120</xdr:rowOff>
    </xdr:to>
    <xdr:sp>
      <xdr:nvSpPr>
        <xdr:cNvPr id="307" name="CustomShape 1"/>
        <xdr:cNvSpPr/>
      </xdr:nvSpPr>
      <xdr:spPr>
        <a:xfrm>
          <a:off x="6757560" y="7543800"/>
          <a:ext cx="855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749160</xdr:colOff>
      <xdr:row>41</xdr:row>
      <xdr:rowOff>32760</xdr:rowOff>
    </xdr:from>
    <xdr:to>
      <xdr:col>12</xdr:col>
      <xdr:colOff>73800</xdr:colOff>
      <xdr:row>42</xdr:row>
      <xdr:rowOff>118080</xdr:rowOff>
    </xdr:to>
    <xdr:sp>
      <xdr:nvSpPr>
        <xdr:cNvPr id="308" name="CustomShape 1"/>
        <xdr:cNvSpPr/>
      </xdr:nvSpPr>
      <xdr:spPr>
        <a:xfrm>
          <a:off x="6149160" y="7408800"/>
          <a:ext cx="5702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SPLL</a:t>
          </a:r>
          <a:endParaRPr/>
        </a:p>
      </xdr:txBody>
    </xdr:sp>
    <xdr:clientData/>
  </xdr:twoCellAnchor>
  <xdr:twoCellAnchor editAs="oneCell">
    <xdr:from>
      <xdr:col>12</xdr:col>
      <xdr:colOff>133200</xdr:colOff>
      <xdr:row>43</xdr:row>
      <xdr:rowOff>167400</xdr:rowOff>
    </xdr:from>
    <xdr:to>
      <xdr:col>13</xdr:col>
      <xdr:colOff>443880</xdr:colOff>
      <xdr:row>43</xdr:row>
      <xdr:rowOff>169560</xdr:rowOff>
    </xdr:to>
    <xdr:sp>
      <xdr:nvSpPr>
        <xdr:cNvPr id="309" name="CustomShape 1"/>
        <xdr:cNvSpPr/>
      </xdr:nvSpPr>
      <xdr:spPr>
        <a:xfrm>
          <a:off x="6778800" y="7894080"/>
          <a:ext cx="83592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727560</xdr:colOff>
      <xdr:row>43</xdr:row>
      <xdr:rowOff>32760</xdr:rowOff>
    </xdr:from>
    <xdr:to>
      <xdr:col>12</xdr:col>
      <xdr:colOff>94680</xdr:colOff>
      <xdr:row>44</xdr:row>
      <xdr:rowOff>118440</xdr:rowOff>
    </xdr:to>
    <xdr:sp>
      <xdr:nvSpPr>
        <xdr:cNvPr id="310" name="CustomShape 1"/>
        <xdr:cNvSpPr/>
      </xdr:nvSpPr>
      <xdr:spPr>
        <a:xfrm>
          <a:off x="6127560" y="775944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12</xdr:col>
      <xdr:colOff>128880</xdr:colOff>
      <xdr:row>45</xdr:row>
      <xdr:rowOff>165600</xdr:rowOff>
    </xdr:from>
    <xdr:to>
      <xdr:col>13</xdr:col>
      <xdr:colOff>443880</xdr:colOff>
      <xdr:row>45</xdr:row>
      <xdr:rowOff>167760</xdr:rowOff>
    </xdr:to>
    <xdr:sp>
      <xdr:nvSpPr>
        <xdr:cNvPr id="311" name="CustomShape 1"/>
        <xdr:cNvSpPr/>
      </xdr:nvSpPr>
      <xdr:spPr>
        <a:xfrm>
          <a:off x="6774480" y="8242560"/>
          <a:ext cx="84024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731880</xdr:colOff>
      <xdr:row>45</xdr:row>
      <xdr:rowOff>30960</xdr:rowOff>
    </xdr:from>
    <xdr:to>
      <xdr:col>12</xdr:col>
      <xdr:colOff>90360</xdr:colOff>
      <xdr:row>46</xdr:row>
      <xdr:rowOff>116280</xdr:rowOff>
    </xdr:to>
    <xdr:sp>
      <xdr:nvSpPr>
        <xdr:cNvPr id="312" name="CustomShape 1"/>
        <xdr:cNvSpPr/>
      </xdr:nvSpPr>
      <xdr:spPr>
        <a:xfrm>
          <a:off x="6131880" y="8107920"/>
          <a:ext cx="604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BFRC</a:t>
          </a:r>
          <a:endParaRPr/>
        </a:p>
      </xdr:txBody>
    </xdr:sp>
    <xdr:clientData/>
  </xdr:twoCellAnchor>
  <xdr:twoCellAnchor editAs="oneCell">
    <xdr:from>
      <xdr:col>12</xdr:col>
      <xdr:colOff>124560</xdr:colOff>
      <xdr:row>47</xdr:row>
      <xdr:rowOff>167760</xdr:rowOff>
    </xdr:from>
    <xdr:to>
      <xdr:col>13</xdr:col>
      <xdr:colOff>439920</xdr:colOff>
      <xdr:row>47</xdr:row>
      <xdr:rowOff>171720</xdr:rowOff>
    </xdr:to>
    <xdr:sp>
      <xdr:nvSpPr>
        <xdr:cNvPr id="313" name="CustomShape 1"/>
        <xdr:cNvSpPr/>
      </xdr:nvSpPr>
      <xdr:spPr>
        <a:xfrm>
          <a:off x="6770160" y="8595360"/>
          <a:ext cx="8406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736200</xdr:colOff>
      <xdr:row>47</xdr:row>
      <xdr:rowOff>32760</xdr:rowOff>
    </xdr:from>
    <xdr:to>
      <xdr:col>12</xdr:col>
      <xdr:colOff>86400</xdr:colOff>
      <xdr:row>48</xdr:row>
      <xdr:rowOff>118080</xdr:rowOff>
    </xdr:to>
    <xdr:sp>
      <xdr:nvSpPr>
        <xdr:cNvPr id="314" name="CustomShape 1"/>
        <xdr:cNvSpPr/>
      </xdr:nvSpPr>
      <xdr:spPr>
        <a:xfrm>
          <a:off x="6136200" y="846036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12</xdr:col>
      <xdr:colOff>133200</xdr:colOff>
      <xdr:row>49</xdr:row>
      <xdr:rowOff>165600</xdr:rowOff>
    </xdr:from>
    <xdr:to>
      <xdr:col>13</xdr:col>
      <xdr:colOff>439920</xdr:colOff>
      <xdr:row>49</xdr:row>
      <xdr:rowOff>169200</xdr:rowOff>
    </xdr:to>
    <xdr:sp>
      <xdr:nvSpPr>
        <xdr:cNvPr id="315" name="CustomShape 1"/>
        <xdr:cNvSpPr/>
      </xdr:nvSpPr>
      <xdr:spPr>
        <a:xfrm>
          <a:off x="6778800" y="8943840"/>
          <a:ext cx="83196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727560</xdr:colOff>
      <xdr:row>49</xdr:row>
      <xdr:rowOff>30960</xdr:rowOff>
    </xdr:from>
    <xdr:to>
      <xdr:col>12</xdr:col>
      <xdr:colOff>94680</xdr:colOff>
      <xdr:row>50</xdr:row>
      <xdr:rowOff>116640</xdr:rowOff>
    </xdr:to>
    <xdr:sp>
      <xdr:nvSpPr>
        <xdr:cNvPr id="316" name="CustomShape 1"/>
        <xdr:cNvSpPr/>
      </xdr:nvSpPr>
      <xdr:spPr>
        <a:xfrm>
          <a:off x="6127560" y="880920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14</xdr:col>
      <xdr:colOff>4320</xdr:colOff>
      <xdr:row>48</xdr:row>
      <xdr:rowOff>86400</xdr:rowOff>
    </xdr:from>
    <xdr:to>
      <xdr:col>15</xdr:col>
      <xdr:colOff>407160</xdr:colOff>
      <xdr:row>48</xdr:row>
      <xdr:rowOff>87480</xdr:rowOff>
    </xdr:to>
    <xdr:sp>
      <xdr:nvSpPr>
        <xdr:cNvPr id="317" name="CustomShape 1"/>
        <xdr:cNvSpPr/>
      </xdr:nvSpPr>
      <xdr:spPr>
        <a:xfrm>
          <a:off x="7935120" y="8689320"/>
          <a:ext cx="108504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16</xdr:col>
      <xdr:colOff>5400</xdr:colOff>
      <xdr:row>47</xdr:row>
      <xdr:rowOff>128160</xdr:rowOff>
    </xdr:from>
    <xdr:to>
      <xdr:col>17</xdr:col>
      <xdr:colOff>175320</xdr:colOff>
      <xdr:row>49</xdr:row>
      <xdr:rowOff>38160</xdr:rowOff>
    </xdr:to>
    <xdr:sp>
      <xdr:nvSpPr>
        <xdr:cNvPr id="318" name="CustomShape 1"/>
        <xdr:cNvSpPr/>
      </xdr:nvSpPr>
      <xdr:spPr>
        <a:xfrm>
          <a:off x="9025920" y="8555760"/>
          <a:ext cx="9302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SYSCLK =</a:t>
          </a:r>
          <a:endParaRPr/>
        </a:p>
      </xdr:txBody>
    </xdr:sp>
    <xdr:clientData/>
  </xdr:twoCellAnchor>
  <xdr:twoCellAnchor editAs="oneCell">
    <xdr:from>
      <xdr:col>13</xdr:col>
      <xdr:colOff>613800</xdr:colOff>
      <xdr:row>50</xdr:row>
      <xdr:rowOff>59040</xdr:rowOff>
    </xdr:from>
    <xdr:to>
      <xdr:col>13</xdr:col>
      <xdr:colOff>614160</xdr:colOff>
      <xdr:row>52</xdr:row>
      <xdr:rowOff>135000</xdr:rowOff>
    </xdr:to>
    <xdr:sp>
      <xdr:nvSpPr>
        <xdr:cNvPr id="319" name="CustomShape 1"/>
        <xdr:cNvSpPr/>
      </xdr:nvSpPr>
      <xdr:spPr>
        <a:xfrm flipV="1">
          <a:off x="7784640" y="9012240"/>
          <a:ext cx="360" cy="426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26</xdr:row>
      <xdr:rowOff>173880</xdr:rowOff>
    </xdr:from>
    <xdr:to>
      <xdr:col>18</xdr:col>
      <xdr:colOff>316080</xdr:colOff>
      <xdr:row>28</xdr:row>
      <xdr:rowOff>43920</xdr:rowOff>
    </xdr:to>
    <xdr:sp>
      <xdr:nvSpPr>
        <xdr:cNvPr id="320" name="CustomShape 1"/>
        <xdr:cNvSpPr/>
      </xdr:nvSpPr>
      <xdr:spPr>
        <a:xfrm>
          <a:off x="10097280" y="492084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26</xdr:row>
      <xdr:rowOff>151200</xdr:rowOff>
    </xdr:from>
    <xdr:to>
      <xdr:col>21</xdr:col>
      <xdr:colOff>130320</xdr:colOff>
      <xdr:row>28</xdr:row>
      <xdr:rowOff>61200</xdr:rowOff>
    </xdr:to>
    <xdr:sp>
      <xdr:nvSpPr>
        <xdr:cNvPr id="321" name="CustomShape 1"/>
        <xdr:cNvSpPr/>
      </xdr:nvSpPr>
      <xdr:spPr>
        <a:xfrm>
          <a:off x="10956600" y="489816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PBCLK1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27</xdr:row>
      <xdr:rowOff>109080</xdr:rowOff>
    </xdr:from>
    <xdr:to>
      <xdr:col>19</xdr:col>
      <xdr:colOff>190080</xdr:colOff>
      <xdr:row>27</xdr:row>
      <xdr:rowOff>110160</xdr:rowOff>
    </xdr:to>
    <xdr:sp>
      <xdr:nvSpPr>
        <xdr:cNvPr id="322" name="CustomShape 1"/>
        <xdr:cNvSpPr/>
      </xdr:nvSpPr>
      <xdr:spPr>
        <a:xfrm>
          <a:off x="10669320" y="503136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175680</xdr:colOff>
      <xdr:row>27</xdr:row>
      <xdr:rowOff>109080</xdr:rowOff>
    </xdr:from>
    <xdr:to>
      <xdr:col>17</xdr:col>
      <xdr:colOff>316440</xdr:colOff>
      <xdr:row>27</xdr:row>
      <xdr:rowOff>112680</xdr:rowOff>
    </xdr:to>
    <xdr:sp>
      <xdr:nvSpPr>
        <xdr:cNvPr id="323" name="CustomShape 1"/>
        <xdr:cNvSpPr/>
      </xdr:nvSpPr>
      <xdr:spPr>
        <a:xfrm flipV="1">
          <a:off x="8788680" y="5031360"/>
          <a:ext cx="130860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29</xdr:row>
      <xdr:rowOff>170280</xdr:rowOff>
    </xdr:from>
    <xdr:to>
      <xdr:col>18</xdr:col>
      <xdr:colOff>316080</xdr:colOff>
      <xdr:row>31</xdr:row>
      <xdr:rowOff>40320</xdr:rowOff>
    </xdr:to>
    <xdr:sp>
      <xdr:nvSpPr>
        <xdr:cNvPr id="324" name="CustomShape 1"/>
        <xdr:cNvSpPr/>
      </xdr:nvSpPr>
      <xdr:spPr>
        <a:xfrm>
          <a:off x="10097280" y="544320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29</xdr:row>
      <xdr:rowOff>147240</xdr:rowOff>
    </xdr:from>
    <xdr:to>
      <xdr:col>21</xdr:col>
      <xdr:colOff>130320</xdr:colOff>
      <xdr:row>31</xdr:row>
      <xdr:rowOff>57240</xdr:rowOff>
    </xdr:to>
    <xdr:sp>
      <xdr:nvSpPr>
        <xdr:cNvPr id="325" name="CustomShape 1"/>
        <xdr:cNvSpPr/>
      </xdr:nvSpPr>
      <xdr:spPr>
        <a:xfrm>
          <a:off x="10956600" y="542016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PBCLK2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30</xdr:row>
      <xdr:rowOff>105480</xdr:rowOff>
    </xdr:from>
    <xdr:to>
      <xdr:col>19</xdr:col>
      <xdr:colOff>190080</xdr:colOff>
      <xdr:row>30</xdr:row>
      <xdr:rowOff>106560</xdr:rowOff>
    </xdr:to>
    <xdr:sp>
      <xdr:nvSpPr>
        <xdr:cNvPr id="326" name="CustomShape 1"/>
        <xdr:cNvSpPr/>
      </xdr:nvSpPr>
      <xdr:spPr>
        <a:xfrm>
          <a:off x="10669320" y="555372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181440</xdr:colOff>
      <xdr:row>30</xdr:row>
      <xdr:rowOff>105480</xdr:rowOff>
    </xdr:from>
    <xdr:to>
      <xdr:col>17</xdr:col>
      <xdr:colOff>316440</xdr:colOff>
      <xdr:row>30</xdr:row>
      <xdr:rowOff>109080</xdr:rowOff>
    </xdr:to>
    <xdr:sp>
      <xdr:nvSpPr>
        <xdr:cNvPr id="327" name="CustomShape 1"/>
        <xdr:cNvSpPr/>
      </xdr:nvSpPr>
      <xdr:spPr>
        <a:xfrm flipV="1">
          <a:off x="8794440" y="5553720"/>
          <a:ext cx="130284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32</xdr:row>
      <xdr:rowOff>166320</xdr:rowOff>
    </xdr:from>
    <xdr:to>
      <xdr:col>18</xdr:col>
      <xdr:colOff>316080</xdr:colOff>
      <xdr:row>34</xdr:row>
      <xdr:rowOff>36360</xdr:rowOff>
    </xdr:to>
    <xdr:sp>
      <xdr:nvSpPr>
        <xdr:cNvPr id="328" name="CustomShape 1"/>
        <xdr:cNvSpPr/>
      </xdr:nvSpPr>
      <xdr:spPr>
        <a:xfrm>
          <a:off x="10097280" y="596484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32</xdr:row>
      <xdr:rowOff>143280</xdr:rowOff>
    </xdr:from>
    <xdr:to>
      <xdr:col>21</xdr:col>
      <xdr:colOff>130320</xdr:colOff>
      <xdr:row>34</xdr:row>
      <xdr:rowOff>53280</xdr:rowOff>
    </xdr:to>
    <xdr:sp>
      <xdr:nvSpPr>
        <xdr:cNvPr id="329" name="CustomShape 1"/>
        <xdr:cNvSpPr/>
      </xdr:nvSpPr>
      <xdr:spPr>
        <a:xfrm>
          <a:off x="10956600" y="594180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PBCLK3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33</xdr:row>
      <xdr:rowOff>101520</xdr:rowOff>
    </xdr:from>
    <xdr:to>
      <xdr:col>19</xdr:col>
      <xdr:colOff>190080</xdr:colOff>
      <xdr:row>33</xdr:row>
      <xdr:rowOff>102600</xdr:rowOff>
    </xdr:to>
    <xdr:sp>
      <xdr:nvSpPr>
        <xdr:cNvPr id="330" name="CustomShape 1"/>
        <xdr:cNvSpPr/>
      </xdr:nvSpPr>
      <xdr:spPr>
        <a:xfrm>
          <a:off x="10669320" y="607536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179280</xdr:colOff>
      <xdr:row>33</xdr:row>
      <xdr:rowOff>101520</xdr:rowOff>
    </xdr:from>
    <xdr:to>
      <xdr:col>17</xdr:col>
      <xdr:colOff>316080</xdr:colOff>
      <xdr:row>33</xdr:row>
      <xdr:rowOff>102960</xdr:rowOff>
    </xdr:to>
    <xdr:sp>
      <xdr:nvSpPr>
        <xdr:cNvPr id="331" name="CustomShape 1"/>
        <xdr:cNvSpPr/>
      </xdr:nvSpPr>
      <xdr:spPr>
        <a:xfrm flipV="1">
          <a:off x="8792280" y="6075360"/>
          <a:ext cx="130464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35</xdr:row>
      <xdr:rowOff>166320</xdr:rowOff>
    </xdr:from>
    <xdr:to>
      <xdr:col>18</xdr:col>
      <xdr:colOff>316080</xdr:colOff>
      <xdr:row>37</xdr:row>
      <xdr:rowOff>36360</xdr:rowOff>
    </xdr:to>
    <xdr:sp>
      <xdr:nvSpPr>
        <xdr:cNvPr id="332" name="CustomShape 1"/>
        <xdr:cNvSpPr/>
      </xdr:nvSpPr>
      <xdr:spPr>
        <a:xfrm>
          <a:off x="10097280" y="649080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35</xdr:row>
      <xdr:rowOff>143280</xdr:rowOff>
    </xdr:from>
    <xdr:to>
      <xdr:col>21</xdr:col>
      <xdr:colOff>130320</xdr:colOff>
      <xdr:row>37</xdr:row>
      <xdr:rowOff>53280</xdr:rowOff>
    </xdr:to>
    <xdr:sp>
      <xdr:nvSpPr>
        <xdr:cNvPr id="333" name="CustomShape 1"/>
        <xdr:cNvSpPr/>
      </xdr:nvSpPr>
      <xdr:spPr>
        <a:xfrm>
          <a:off x="10956600" y="646776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PBCLK4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36</xdr:row>
      <xdr:rowOff>101520</xdr:rowOff>
    </xdr:from>
    <xdr:to>
      <xdr:col>19</xdr:col>
      <xdr:colOff>190080</xdr:colOff>
      <xdr:row>36</xdr:row>
      <xdr:rowOff>102600</xdr:rowOff>
    </xdr:to>
    <xdr:sp>
      <xdr:nvSpPr>
        <xdr:cNvPr id="334" name="CustomShape 1"/>
        <xdr:cNvSpPr/>
      </xdr:nvSpPr>
      <xdr:spPr>
        <a:xfrm>
          <a:off x="10669320" y="660132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179280</xdr:colOff>
      <xdr:row>36</xdr:row>
      <xdr:rowOff>101520</xdr:rowOff>
    </xdr:from>
    <xdr:to>
      <xdr:col>17</xdr:col>
      <xdr:colOff>316080</xdr:colOff>
      <xdr:row>36</xdr:row>
      <xdr:rowOff>102960</xdr:rowOff>
    </xdr:to>
    <xdr:sp>
      <xdr:nvSpPr>
        <xdr:cNvPr id="335" name="CustomShape 1"/>
        <xdr:cNvSpPr/>
      </xdr:nvSpPr>
      <xdr:spPr>
        <a:xfrm flipV="1">
          <a:off x="8792280" y="6601320"/>
          <a:ext cx="130464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38</xdr:row>
      <xdr:rowOff>168120</xdr:rowOff>
    </xdr:from>
    <xdr:to>
      <xdr:col>18</xdr:col>
      <xdr:colOff>316080</xdr:colOff>
      <xdr:row>40</xdr:row>
      <xdr:rowOff>38160</xdr:rowOff>
    </xdr:to>
    <xdr:sp>
      <xdr:nvSpPr>
        <xdr:cNvPr id="336" name="CustomShape 1"/>
        <xdr:cNvSpPr/>
      </xdr:nvSpPr>
      <xdr:spPr>
        <a:xfrm>
          <a:off x="10097280" y="701820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38</xdr:row>
      <xdr:rowOff>145440</xdr:rowOff>
    </xdr:from>
    <xdr:to>
      <xdr:col>21</xdr:col>
      <xdr:colOff>130320</xdr:colOff>
      <xdr:row>40</xdr:row>
      <xdr:rowOff>55440</xdr:rowOff>
    </xdr:to>
    <xdr:sp>
      <xdr:nvSpPr>
        <xdr:cNvPr id="337" name="CustomShape 1"/>
        <xdr:cNvSpPr/>
      </xdr:nvSpPr>
      <xdr:spPr>
        <a:xfrm>
          <a:off x="10956600" y="699552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PBCLK5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39</xdr:row>
      <xdr:rowOff>103320</xdr:rowOff>
    </xdr:from>
    <xdr:to>
      <xdr:col>19</xdr:col>
      <xdr:colOff>190080</xdr:colOff>
      <xdr:row>39</xdr:row>
      <xdr:rowOff>104400</xdr:rowOff>
    </xdr:to>
    <xdr:sp>
      <xdr:nvSpPr>
        <xdr:cNvPr id="338" name="CustomShape 1"/>
        <xdr:cNvSpPr/>
      </xdr:nvSpPr>
      <xdr:spPr>
        <a:xfrm>
          <a:off x="10669320" y="712872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181440</xdr:colOff>
      <xdr:row>39</xdr:row>
      <xdr:rowOff>103320</xdr:rowOff>
    </xdr:from>
    <xdr:to>
      <xdr:col>17</xdr:col>
      <xdr:colOff>316440</xdr:colOff>
      <xdr:row>39</xdr:row>
      <xdr:rowOff>110520</xdr:rowOff>
    </xdr:to>
    <xdr:sp>
      <xdr:nvSpPr>
        <xdr:cNvPr id="339" name="CustomShape 1"/>
        <xdr:cNvSpPr/>
      </xdr:nvSpPr>
      <xdr:spPr>
        <a:xfrm flipV="1">
          <a:off x="8794440" y="7128720"/>
          <a:ext cx="130284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41</xdr:row>
      <xdr:rowOff>166320</xdr:rowOff>
    </xdr:from>
    <xdr:to>
      <xdr:col>18</xdr:col>
      <xdr:colOff>316080</xdr:colOff>
      <xdr:row>43</xdr:row>
      <xdr:rowOff>36360</xdr:rowOff>
    </xdr:to>
    <xdr:sp>
      <xdr:nvSpPr>
        <xdr:cNvPr id="340" name="CustomShape 1"/>
        <xdr:cNvSpPr/>
      </xdr:nvSpPr>
      <xdr:spPr>
        <a:xfrm>
          <a:off x="10097280" y="754236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41</xdr:row>
      <xdr:rowOff>143280</xdr:rowOff>
    </xdr:from>
    <xdr:to>
      <xdr:col>21</xdr:col>
      <xdr:colOff>130320</xdr:colOff>
      <xdr:row>43</xdr:row>
      <xdr:rowOff>53280</xdr:rowOff>
    </xdr:to>
    <xdr:sp>
      <xdr:nvSpPr>
        <xdr:cNvPr id="341" name="CustomShape 1"/>
        <xdr:cNvSpPr/>
      </xdr:nvSpPr>
      <xdr:spPr>
        <a:xfrm>
          <a:off x="10956600" y="751932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PBCLK7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42</xdr:row>
      <xdr:rowOff>101520</xdr:rowOff>
    </xdr:from>
    <xdr:to>
      <xdr:col>19</xdr:col>
      <xdr:colOff>190080</xdr:colOff>
      <xdr:row>42</xdr:row>
      <xdr:rowOff>102600</xdr:rowOff>
    </xdr:to>
    <xdr:sp>
      <xdr:nvSpPr>
        <xdr:cNvPr id="342" name="CustomShape 1"/>
        <xdr:cNvSpPr/>
      </xdr:nvSpPr>
      <xdr:spPr>
        <a:xfrm>
          <a:off x="10669320" y="765288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181440</xdr:colOff>
      <xdr:row>42</xdr:row>
      <xdr:rowOff>101520</xdr:rowOff>
    </xdr:from>
    <xdr:to>
      <xdr:col>17</xdr:col>
      <xdr:colOff>316440</xdr:colOff>
      <xdr:row>42</xdr:row>
      <xdr:rowOff>105120</xdr:rowOff>
    </xdr:to>
    <xdr:sp>
      <xdr:nvSpPr>
        <xdr:cNvPr id="343" name="CustomShape 1"/>
        <xdr:cNvSpPr/>
      </xdr:nvSpPr>
      <xdr:spPr>
        <a:xfrm flipV="1">
          <a:off x="8794440" y="7652880"/>
          <a:ext cx="130284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316440</xdr:colOff>
      <xdr:row>44</xdr:row>
      <xdr:rowOff>164520</xdr:rowOff>
    </xdr:from>
    <xdr:to>
      <xdr:col>18</xdr:col>
      <xdr:colOff>316080</xdr:colOff>
      <xdr:row>46</xdr:row>
      <xdr:rowOff>34560</xdr:rowOff>
    </xdr:to>
    <xdr:sp>
      <xdr:nvSpPr>
        <xdr:cNvPr id="344" name="CustomShape 1"/>
        <xdr:cNvSpPr/>
      </xdr:nvSpPr>
      <xdr:spPr>
        <a:xfrm>
          <a:off x="10097280" y="8066160"/>
          <a:ext cx="571680" cy="22068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Divider</a:t>
          </a:r>
          <a:endParaRPr/>
        </a:p>
      </xdr:txBody>
    </xdr:sp>
    <xdr:clientData/>
  </xdr:twoCellAnchor>
  <xdr:twoCellAnchor editAs="oneCell">
    <xdr:from>
      <xdr:col>19</xdr:col>
      <xdr:colOff>196200</xdr:colOff>
      <xdr:row>44</xdr:row>
      <xdr:rowOff>141480</xdr:rowOff>
    </xdr:from>
    <xdr:to>
      <xdr:col>21</xdr:col>
      <xdr:colOff>130320</xdr:colOff>
      <xdr:row>46</xdr:row>
      <xdr:rowOff>51480</xdr:rowOff>
    </xdr:to>
    <xdr:sp>
      <xdr:nvSpPr>
        <xdr:cNvPr id="345" name="CustomShape 1"/>
        <xdr:cNvSpPr/>
      </xdr:nvSpPr>
      <xdr:spPr>
        <a:xfrm>
          <a:off x="10956600" y="8043120"/>
          <a:ext cx="9216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PBCLK8 =</a:t>
          </a:r>
          <a:endParaRPr/>
        </a:p>
      </xdr:txBody>
    </xdr:sp>
    <xdr:clientData/>
  </xdr:twoCellAnchor>
  <xdr:twoCellAnchor editAs="oneCell">
    <xdr:from>
      <xdr:col>18</xdr:col>
      <xdr:colOff>316440</xdr:colOff>
      <xdr:row>45</xdr:row>
      <xdr:rowOff>99720</xdr:rowOff>
    </xdr:from>
    <xdr:to>
      <xdr:col>19</xdr:col>
      <xdr:colOff>190080</xdr:colOff>
      <xdr:row>45</xdr:row>
      <xdr:rowOff>100800</xdr:rowOff>
    </xdr:to>
    <xdr:sp>
      <xdr:nvSpPr>
        <xdr:cNvPr id="346" name="CustomShape 1"/>
        <xdr:cNvSpPr/>
      </xdr:nvSpPr>
      <xdr:spPr>
        <a:xfrm>
          <a:off x="10669320" y="8176680"/>
          <a:ext cx="281160" cy="1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345240</xdr:colOff>
      <xdr:row>45</xdr:row>
      <xdr:rowOff>99720</xdr:rowOff>
    </xdr:from>
    <xdr:to>
      <xdr:col>17</xdr:col>
      <xdr:colOff>316440</xdr:colOff>
      <xdr:row>45</xdr:row>
      <xdr:rowOff>103320</xdr:rowOff>
    </xdr:to>
    <xdr:sp>
      <xdr:nvSpPr>
        <xdr:cNvPr id="347" name="CustomShape 1"/>
        <xdr:cNvSpPr/>
      </xdr:nvSpPr>
      <xdr:spPr>
        <a:xfrm flipV="1">
          <a:off x="8276040" y="8176680"/>
          <a:ext cx="182124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177840</xdr:colOff>
      <xdr:row>27</xdr:row>
      <xdr:rowOff>110520</xdr:rowOff>
    </xdr:from>
    <xdr:to>
      <xdr:col>15</xdr:col>
      <xdr:colOff>186840</xdr:colOff>
      <xdr:row>45</xdr:row>
      <xdr:rowOff>105120</xdr:rowOff>
    </xdr:to>
    <xdr:sp>
      <xdr:nvSpPr>
        <xdr:cNvPr id="348" name="CustomShape 1"/>
        <xdr:cNvSpPr/>
      </xdr:nvSpPr>
      <xdr:spPr>
        <a:xfrm>
          <a:off x="8790840" y="5032800"/>
          <a:ext cx="9000" cy="314928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354600</xdr:colOff>
      <xdr:row>45</xdr:row>
      <xdr:rowOff>105480</xdr:rowOff>
    </xdr:from>
    <xdr:to>
      <xdr:col>14</xdr:col>
      <xdr:colOff>354960</xdr:colOff>
      <xdr:row>48</xdr:row>
      <xdr:rowOff>97560</xdr:rowOff>
    </xdr:to>
    <xdr:sp>
      <xdr:nvSpPr>
        <xdr:cNvPr id="349" name="CustomShape 1"/>
        <xdr:cNvSpPr/>
      </xdr:nvSpPr>
      <xdr:spPr>
        <a:xfrm>
          <a:off x="8285400" y="8182440"/>
          <a:ext cx="360" cy="5180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95760</xdr:colOff>
      <xdr:row>0</xdr:row>
      <xdr:rowOff>105480</xdr:rowOff>
    </xdr:from>
    <xdr:to>
      <xdr:col>5</xdr:col>
      <xdr:colOff>148680</xdr:colOff>
      <xdr:row>2</xdr:row>
      <xdr:rowOff>34560</xdr:rowOff>
    </xdr:to>
    <xdr:pic>
      <xdr:nvPicPr>
        <xdr:cNvPr id="350" name="Picture 390" descr=""/>
        <xdr:cNvPicPr/>
      </xdr:nvPicPr>
      <xdr:blipFill>
        <a:blip r:embed="rId1"/>
        <a:stretch/>
      </xdr:blipFill>
      <xdr:spPr>
        <a:xfrm>
          <a:off x="95760" y="105480"/>
          <a:ext cx="2059200" cy="46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491760</xdr:colOff>
      <xdr:row>3</xdr:row>
      <xdr:rowOff>105480</xdr:rowOff>
    </xdr:from>
    <xdr:to>
      <xdr:col>14</xdr:col>
      <xdr:colOff>274320</xdr:colOff>
      <xdr:row>6</xdr:row>
      <xdr:rowOff>59400</xdr:rowOff>
    </xdr:to>
    <xdr:sp>
      <xdr:nvSpPr>
        <xdr:cNvPr id="351" name="CustomShape 1"/>
        <xdr:cNvSpPr/>
      </xdr:nvSpPr>
      <xdr:spPr>
        <a:xfrm>
          <a:off x="5241240" y="813960"/>
          <a:ext cx="296388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Click on highlighted cells and select settings per drop-down list</a:t>
          </a:r>
          <a:endParaRPr/>
        </a:p>
      </xdr:txBody>
    </xdr:sp>
    <xdr:clientData/>
  </xdr:twoCellAnchor>
  <xdr:twoCellAnchor editAs="oneCell">
    <xdr:from>
      <xdr:col>9</xdr:col>
      <xdr:colOff>361440</xdr:colOff>
      <xdr:row>6</xdr:row>
      <xdr:rowOff>97560</xdr:rowOff>
    </xdr:from>
    <xdr:to>
      <xdr:col>10</xdr:col>
      <xdr:colOff>94320</xdr:colOff>
      <xdr:row>8</xdr:row>
      <xdr:rowOff>120240</xdr:rowOff>
    </xdr:to>
    <xdr:sp>
      <xdr:nvSpPr>
        <xdr:cNvPr id="352" name="CustomShape 1"/>
        <xdr:cNvSpPr/>
      </xdr:nvSpPr>
      <xdr:spPr>
        <a:xfrm flipH="1">
          <a:off x="5110920" y="1332000"/>
          <a:ext cx="383400" cy="37296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126000</xdr:colOff>
      <xdr:row>15</xdr:row>
      <xdr:rowOff>120600</xdr:rowOff>
    </xdr:from>
    <xdr:to>
      <xdr:col>4</xdr:col>
      <xdr:colOff>355680</xdr:colOff>
      <xdr:row>18</xdr:row>
      <xdr:rowOff>74520</xdr:rowOff>
    </xdr:to>
    <xdr:sp>
      <xdr:nvSpPr>
        <xdr:cNvPr id="353" name="CustomShape 1"/>
        <xdr:cNvSpPr/>
      </xdr:nvSpPr>
      <xdr:spPr>
        <a:xfrm>
          <a:off x="126000" y="2939760"/>
          <a:ext cx="182844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Enter external clock or crystal frequency</a:t>
          </a:r>
          <a:endParaRPr/>
        </a:p>
      </xdr:txBody>
    </xdr:sp>
    <xdr:clientData/>
  </xdr:twoCellAnchor>
  <xdr:twoCellAnchor editAs="oneCell">
    <xdr:from>
      <xdr:col>4</xdr:col>
      <xdr:colOff>27000</xdr:colOff>
      <xdr:row>18</xdr:row>
      <xdr:rowOff>128160</xdr:rowOff>
    </xdr:from>
    <xdr:to>
      <xdr:col>4</xdr:col>
      <xdr:colOff>178920</xdr:colOff>
      <xdr:row>20</xdr:row>
      <xdr:rowOff>127800</xdr:rowOff>
    </xdr:to>
    <xdr:sp>
      <xdr:nvSpPr>
        <xdr:cNvPr id="354" name="CustomShape 1"/>
        <xdr:cNvSpPr/>
      </xdr:nvSpPr>
      <xdr:spPr>
        <a:xfrm>
          <a:off x="1625760" y="3473280"/>
          <a:ext cx="151920" cy="34992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240480</xdr:colOff>
      <xdr:row>55</xdr:row>
      <xdr:rowOff>196560</xdr:rowOff>
    </xdr:from>
    <xdr:to>
      <xdr:col>8</xdr:col>
      <xdr:colOff>598320</xdr:colOff>
      <xdr:row>74</xdr:row>
      <xdr:rowOff>74520</xdr:rowOff>
    </xdr:to>
    <xdr:sp>
      <xdr:nvSpPr>
        <xdr:cNvPr id="355" name="CustomShape 1"/>
        <xdr:cNvSpPr/>
      </xdr:nvSpPr>
      <xdr:spPr>
        <a:xfrm>
          <a:off x="906480" y="10026360"/>
          <a:ext cx="3681360" cy="323064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240480</xdr:colOff>
      <xdr:row>65</xdr:row>
      <xdr:rowOff>36720</xdr:rowOff>
    </xdr:from>
    <xdr:to>
      <xdr:col>8</xdr:col>
      <xdr:colOff>598320</xdr:colOff>
      <xdr:row>65</xdr:row>
      <xdr:rowOff>37080</xdr:rowOff>
    </xdr:to>
    <xdr:sp>
      <xdr:nvSpPr>
        <xdr:cNvPr id="356" name="CustomShape 1"/>
        <xdr:cNvSpPr/>
      </xdr:nvSpPr>
      <xdr:spPr>
        <a:xfrm>
          <a:off x="906480" y="11641680"/>
          <a:ext cx="3681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238320</xdr:colOff>
      <xdr:row>59</xdr:row>
      <xdr:rowOff>113040</xdr:rowOff>
    </xdr:from>
    <xdr:to>
      <xdr:col>8</xdr:col>
      <xdr:colOff>605520</xdr:colOff>
      <xdr:row>59</xdr:row>
      <xdr:rowOff>114480</xdr:rowOff>
    </xdr:to>
    <xdr:sp>
      <xdr:nvSpPr>
        <xdr:cNvPr id="357" name="CustomShape 1"/>
        <xdr:cNvSpPr/>
      </xdr:nvSpPr>
      <xdr:spPr>
        <a:xfrm flipV="1">
          <a:off x="904320" y="10666440"/>
          <a:ext cx="3690720" cy="14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461520</xdr:colOff>
      <xdr:row>82</xdr:row>
      <xdr:rowOff>151200</xdr:rowOff>
    </xdr:from>
    <xdr:to>
      <xdr:col>25</xdr:col>
      <xdr:colOff>247680</xdr:colOff>
      <xdr:row>111</xdr:row>
      <xdr:rowOff>135720</xdr:rowOff>
    </xdr:to>
    <xdr:sp>
      <xdr:nvSpPr>
        <xdr:cNvPr id="358" name="CustomShape 1"/>
        <xdr:cNvSpPr/>
      </xdr:nvSpPr>
      <xdr:spPr>
        <a:xfrm>
          <a:off x="7107120" y="14735880"/>
          <a:ext cx="7295760" cy="508212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461520</xdr:colOff>
      <xdr:row>86</xdr:row>
      <xdr:rowOff>32760</xdr:rowOff>
    </xdr:from>
    <xdr:to>
      <xdr:col>25</xdr:col>
      <xdr:colOff>240120</xdr:colOff>
      <xdr:row>86</xdr:row>
      <xdr:rowOff>36360</xdr:rowOff>
    </xdr:to>
    <xdr:sp>
      <xdr:nvSpPr>
        <xdr:cNvPr id="359" name="CustomShape 1"/>
        <xdr:cNvSpPr/>
      </xdr:nvSpPr>
      <xdr:spPr>
        <a:xfrm>
          <a:off x="7107120" y="15325920"/>
          <a:ext cx="7288200" cy="360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667080</xdr:colOff>
      <xdr:row>7</xdr:row>
      <xdr:rowOff>113040</xdr:rowOff>
    </xdr:from>
    <xdr:to>
      <xdr:col>21</xdr:col>
      <xdr:colOff>133200</xdr:colOff>
      <xdr:row>12</xdr:row>
      <xdr:rowOff>36360</xdr:rowOff>
    </xdr:to>
    <xdr:sp>
      <xdr:nvSpPr>
        <xdr:cNvPr id="360" name="CustomShape 1"/>
        <xdr:cNvSpPr/>
      </xdr:nvSpPr>
      <xdr:spPr>
        <a:xfrm>
          <a:off x="8597880" y="1522440"/>
          <a:ext cx="3283200" cy="807480"/>
        </a:xfrm>
        <a:prstGeom prst="rect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457560</xdr:colOff>
      <xdr:row>57</xdr:row>
      <xdr:rowOff>158760</xdr:rowOff>
    </xdr:from>
    <xdr:to>
      <xdr:col>14</xdr:col>
      <xdr:colOff>2160</xdr:colOff>
      <xdr:row>75</xdr:row>
      <xdr:rowOff>165960</xdr:rowOff>
    </xdr:to>
    <xdr:sp>
      <xdr:nvSpPr>
        <xdr:cNvPr id="361" name="CustomShape 1"/>
        <xdr:cNvSpPr/>
      </xdr:nvSpPr>
      <xdr:spPr>
        <a:xfrm>
          <a:off x="7628400" y="10361880"/>
          <a:ext cx="304560" cy="3161880"/>
        </a:xfrm>
        <a:prstGeom prst="trapezoid">
          <a:avLst>
            <a:gd name="adj" fmla="val 27000"/>
          </a:avLst>
        </a:prstGeom>
        <a:solidFill>
          <a:srgbClr val="c0c0c0"/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77040</xdr:colOff>
      <xdr:row>58</xdr:row>
      <xdr:rowOff>165600</xdr:rowOff>
    </xdr:from>
    <xdr:to>
      <xdr:col>13</xdr:col>
      <xdr:colOff>447480</xdr:colOff>
      <xdr:row>58</xdr:row>
      <xdr:rowOff>165960</xdr:rowOff>
    </xdr:to>
    <xdr:sp>
      <xdr:nvSpPr>
        <xdr:cNvPr id="362" name="CustomShape 1"/>
        <xdr:cNvSpPr/>
      </xdr:nvSpPr>
      <xdr:spPr>
        <a:xfrm>
          <a:off x="6722640" y="10544040"/>
          <a:ext cx="89568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51840</xdr:colOff>
      <xdr:row>58</xdr:row>
      <xdr:rowOff>30960</xdr:rowOff>
    </xdr:from>
    <xdr:to>
      <xdr:col>12</xdr:col>
      <xdr:colOff>60120</xdr:colOff>
      <xdr:row>59</xdr:row>
      <xdr:rowOff>116640</xdr:rowOff>
    </xdr:to>
    <xdr:sp>
      <xdr:nvSpPr>
        <xdr:cNvPr id="363" name="CustomShape 1"/>
        <xdr:cNvSpPr/>
      </xdr:nvSpPr>
      <xdr:spPr>
        <a:xfrm>
          <a:off x="6211800" y="10409400"/>
          <a:ext cx="4939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FRC</a:t>
          </a:r>
          <a:endParaRPr/>
        </a:p>
      </xdr:txBody>
    </xdr:sp>
    <xdr:clientData/>
  </xdr:twoCellAnchor>
  <xdr:twoCellAnchor editAs="oneCell">
    <xdr:from>
      <xdr:col>12</xdr:col>
      <xdr:colOff>115560</xdr:colOff>
      <xdr:row>60</xdr:row>
      <xdr:rowOff>163800</xdr:rowOff>
    </xdr:from>
    <xdr:to>
      <xdr:col>13</xdr:col>
      <xdr:colOff>445680</xdr:colOff>
      <xdr:row>60</xdr:row>
      <xdr:rowOff>164160</xdr:rowOff>
    </xdr:to>
    <xdr:sp>
      <xdr:nvSpPr>
        <xdr:cNvPr id="364" name="CustomShape 1"/>
        <xdr:cNvSpPr/>
      </xdr:nvSpPr>
      <xdr:spPr>
        <a:xfrm>
          <a:off x="6761160" y="10892520"/>
          <a:ext cx="855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752760</xdr:colOff>
      <xdr:row>60</xdr:row>
      <xdr:rowOff>29160</xdr:rowOff>
    </xdr:from>
    <xdr:to>
      <xdr:col>12</xdr:col>
      <xdr:colOff>77400</xdr:colOff>
      <xdr:row>61</xdr:row>
      <xdr:rowOff>114480</xdr:rowOff>
    </xdr:to>
    <xdr:sp>
      <xdr:nvSpPr>
        <xdr:cNvPr id="365" name="CustomShape 1"/>
        <xdr:cNvSpPr/>
      </xdr:nvSpPr>
      <xdr:spPr>
        <a:xfrm>
          <a:off x="6152760" y="10757880"/>
          <a:ext cx="5702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SPLL</a:t>
          </a:r>
          <a:endParaRPr/>
        </a:p>
      </xdr:txBody>
    </xdr:sp>
    <xdr:clientData/>
  </xdr:twoCellAnchor>
  <xdr:twoCellAnchor editAs="oneCell">
    <xdr:from>
      <xdr:col>12</xdr:col>
      <xdr:colOff>137160</xdr:colOff>
      <xdr:row>62</xdr:row>
      <xdr:rowOff>163800</xdr:rowOff>
    </xdr:from>
    <xdr:to>
      <xdr:col>13</xdr:col>
      <xdr:colOff>447840</xdr:colOff>
      <xdr:row>62</xdr:row>
      <xdr:rowOff>165960</xdr:rowOff>
    </xdr:to>
    <xdr:sp>
      <xdr:nvSpPr>
        <xdr:cNvPr id="366" name="CustomShape 1"/>
        <xdr:cNvSpPr/>
      </xdr:nvSpPr>
      <xdr:spPr>
        <a:xfrm>
          <a:off x="6782760" y="11243160"/>
          <a:ext cx="83592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731520</xdr:colOff>
      <xdr:row>62</xdr:row>
      <xdr:rowOff>29160</xdr:rowOff>
    </xdr:from>
    <xdr:to>
      <xdr:col>12</xdr:col>
      <xdr:colOff>98640</xdr:colOff>
      <xdr:row>63</xdr:row>
      <xdr:rowOff>114480</xdr:rowOff>
    </xdr:to>
    <xdr:sp>
      <xdr:nvSpPr>
        <xdr:cNvPr id="367" name="CustomShape 1"/>
        <xdr:cNvSpPr/>
      </xdr:nvSpPr>
      <xdr:spPr>
        <a:xfrm>
          <a:off x="6131520" y="1110852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POSC</a:t>
          </a:r>
          <a:endParaRPr/>
        </a:p>
      </xdr:txBody>
    </xdr:sp>
    <xdr:clientData/>
  </xdr:twoCellAnchor>
  <xdr:twoCellAnchor editAs="oneCell">
    <xdr:from>
      <xdr:col>12</xdr:col>
      <xdr:colOff>132480</xdr:colOff>
      <xdr:row>64</xdr:row>
      <xdr:rowOff>162000</xdr:rowOff>
    </xdr:from>
    <xdr:to>
      <xdr:col>13</xdr:col>
      <xdr:colOff>447480</xdr:colOff>
      <xdr:row>64</xdr:row>
      <xdr:rowOff>164160</xdr:rowOff>
    </xdr:to>
    <xdr:sp>
      <xdr:nvSpPr>
        <xdr:cNvPr id="368" name="CustomShape 1"/>
        <xdr:cNvSpPr/>
      </xdr:nvSpPr>
      <xdr:spPr>
        <a:xfrm>
          <a:off x="6778080" y="11592000"/>
          <a:ext cx="84024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735840</xdr:colOff>
      <xdr:row>64</xdr:row>
      <xdr:rowOff>27360</xdr:rowOff>
    </xdr:from>
    <xdr:to>
      <xdr:col>12</xdr:col>
      <xdr:colOff>94320</xdr:colOff>
      <xdr:row>65</xdr:row>
      <xdr:rowOff>113040</xdr:rowOff>
    </xdr:to>
    <xdr:sp>
      <xdr:nvSpPr>
        <xdr:cNvPr id="369" name="CustomShape 1"/>
        <xdr:cNvSpPr/>
      </xdr:nvSpPr>
      <xdr:spPr>
        <a:xfrm>
          <a:off x="6135840" y="11457360"/>
          <a:ext cx="604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BFRC</a:t>
          </a:r>
          <a:endParaRPr/>
        </a:p>
      </xdr:txBody>
    </xdr:sp>
    <xdr:clientData/>
  </xdr:twoCellAnchor>
  <xdr:twoCellAnchor editAs="oneCell">
    <xdr:from>
      <xdr:col>12</xdr:col>
      <xdr:colOff>128520</xdr:colOff>
      <xdr:row>66</xdr:row>
      <xdr:rowOff>163800</xdr:rowOff>
    </xdr:from>
    <xdr:to>
      <xdr:col>13</xdr:col>
      <xdr:colOff>443880</xdr:colOff>
      <xdr:row>66</xdr:row>
      <xdr:rowOff>167760</xdr:rowOff>
    </xdr:to>
    <xdr:sp>
      <xdr:nvSpPr>
        <xdr:cNvPr id="370" name="CustomShape 1"/>
        <xdr:cNvSpPr/>
      </xdr:nvSpPr>
      <xdr:spPr>
        <a:xfrm>
          <a:off x="6774120" y="11944080"/>
          <a:ext cx="8406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740160</xdr:colOff>
      <xdr:row>66</xdr:row>
      <xdr:rowOff>29160</xdr:rowOff>
    </xdr:from>
    <xdr:to>
      <xdr:col>12</xdr:col>
      <xdr:colOff>90360</xdr:colOff>
      <xdr:row>67</xdr:row>
      <xdr:rowOff>114480</xdr:rowOff>
    </xdr:to>
    <xdr:sp>
      <xdr:nvSpPr>
        <xdr:cNvPr id="371" name="CustomShape 1"/>
        <xdr:cNvSpPr/>
      </xdr:nvSpPr>
      <xdr:spPr>
        <a:xfrm>
          <a:off x="6140160" y="1180944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12</xdr:col>
      <xdr:colOff>137160</xdr:colOff>
      <xdr:row>68</xdr:row>
      <xdr:rowOff>162000</xdr:rowOff>
    </xdr:from>
    <xdr:to>
      <xdr:col>13</xdr:col>
      <xdr:colOff>443880</xdr:colOff>
      <xdr:row>68</xdr:row>
      <xdr:rowOff>165960</xdr:rowOff>
    </xdr:to>
    <xdr:sp>
      <xdr:nvSpPr>
        <xdr:cNvPr id="372" name="CustomShape 1"/>
        <xdr:cNvSpPr/>
      </xdr:nvSpPr>
      <xdr:spPr>
        <a:xfrm>
          <a:off x="6782760" y="12292920"/>
          <a:ext cx="83196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731520</xdr:colOff>
      <xdr:row>68</xdr:row>
      <xdr:rowOff>27360</xdr:rowOff>
    </xdr:from>
    <xdr:to>
      <xdr:col>12</xdr:col>
      <xdr:colOff>98640</xdr:colOff>
      <xdr:row>69</xdr:row>
      <xdr:rowOff>112680</xdr:rowOff>
    </xdr:to>
    <xdr:sp>
      <xdr:nvSpPr>
        <xdr:cNvPr id="373" name="CustomShape 1"/>
        <xdr:cNvSpPr/>
      </xdr:nvSpPr>
      <xdr:spPr>
        <a:xfrm>
          <a:off x="6131520" y="1215828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14</xdr:col>
      <xdr:colOff>2520</xdr:colOff>
      <xdr:row>67</xdr:row>
      <xdr:rowOff>83520</xdr:rowOff>
    </xdr:from>
    <xdr:to>
      <xdr:col>19</xdr:col>
      <xdr:colOff>253440</xdr:colOff>
      <xdr:row>67</xdr:row>
      <xdr:rowOff>85320</xdr:rowOff>
    </xdr:to>
    <xdr:sp>
      <xdr:nvSpPr>
        <xdr:cNvPr id="374" name="CustomShape 1"/>
        <xdr:cNvSpPr/>
      </xdr:nvSpPr>
      <xdr:spPr>
        <a:xfrm flipV="1">
          <a:off x="7933320" y="12039120"/>
          <a:ext cx="3080520" cy="18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617400</xdr:colOff>
      <xdr:row>75</xdr:row>
      <xdr:rowOff>78480</xdr:rowOff>
    </xdr:from>
    <xdr:to>
      <xdr:col>13</xdr:col>
      <xdr:colOff>617760</xdr:colOff>
      <xdr:row>77</xdr:row>
      <xdr:rowOff>154440</xdr:rowOff>
    </xdr:to>
    <xdr:sp>
      <xdr:nvSpPr>
        <xdr:cNvPr id="375" name="CustomShape 1"/>
        <xdr:cNvSpPr/>
      </xdr:nvSpPr>
      <xdr:spPr>
        <a:xfrm flipV="1">
          <a:off x="7788240" y="13436280"/>
          <a:ext cx="360" cy="4262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12</xdr:col>
      <xdr:colOff>132480</xdr:colOff>
      <xdr:row>64</xdr:row>
      <xdr:rowOff>162000</xdr:rowOff>
    </xdr:from>
    <xdr:to>
      <xdr:col>13</xdr:col>
      <xdr:colOff>447480</xdr:colOff>
      <xdr:row>64</xdr:row>
      <xdr:rowOff>164160</xdr:rowOff>
    </xdr:to>
    <xdr:sp>
      <xdr:nvSpPr>
        <xdr:cNvPr id="376" name="CustomShape 1"/>
        <xdr:cNvSpPr/>
      </xdr:nvSpPr>
      <xdr:spPr>
        <a:xfrm>
          <a:off x="6778080" y="11592000"/>
          <a:ext cx="84024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735840</xdr:colOff>
      <xdr:row>64</xdr:row>
      <xdr:rowOff>27360</xdr:rowOff>
    </xdr:from>
    <xdr:to>
      <xdr:col>12</xdr:col>
      <xdr:colOff>94320</xdr:colOff>
      <xdr:row>65</xdr:row>
      <xdr:rowOff>113040</xdr:rowOff>
    </xdr:to>
    <xdr:sp>
      <xdr:nvSpPr>
        <xdr:cNvPr id="377" name="CustomShape 1"/>
        <xdr:cNvSpPr/>
      </xdr:nvSpPr>
      <xdr:spPr>
        <a:xfrm>
          <a:off x="6135840" y="11457360"/>
          <a:ext cx="6040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BFRC</a:t>
          </a:r>
          <a:endParaRPr/>
        </a:p>
      </xdr:txBody>
    </xdr:sp>
    <xdr:clientData/>
  </xdr:twoCellAnchor>
  <xdr:twoCellAnchor editAs="oneCell">
    <xdr:from>
      <xdr:col>12</xdr:col>
      <xdr:colOff>128520</xdr:colOff>
      <xdr:row>66</xdr:row>
      <xdr:rowOff>163800</xdr:rowOff>
    </xdr:from>
    <xdr:to>
      <xdr:col>13</xdr:col>
      <xdr:colOff>443880</xdr:colOff>
      <xdr:row>66</xdr:row>
      <xdr:rowOff>167760</xdr:rowOff>
    </xdr:to>
    <xdr:sp>
      <xdr:nvSpPr>
        <xdr:cNvPr id="378" name="CustomShape 1"/>
        <xdr:cNvSpPr/>
      </xdr:nvSpPr>
      <xdr:spPr>
        <a:xfrm>
          <a:off x="6774120" y="11944080"/>
          <a:ext cx="8406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740160</xdr:colOff>
      <xdr:row>66</xdr:row>
      <xdr:rowOff>29160</xdr:rowOff>
    </xdr:from>
    <xdr:to>
      <xdr:col>12</xdr:col>
      <xdr:colOff>90360</xdr:colOff>
      <xdr:row>67</xdr:row>
      <xdr:rowOff>114480</xdr:rowOff>
    </xdr:to>
    <xdr:sp>
      <xdr:nvSpPr>
        <xdr:cNvPr id="379" name="CustomShape 1"/>
        <xdr:cNvSpPr/>
      </xdr:nvSpPr>
      <xdr:spPr>
        <a:xfrm>
          <a:off x="6140160" y="11809440"/>
          <a:ext cx="5958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LPRC</a:t>
          </a:r>
          <a:endParaRPr/>
        </a:p>
      </xdr:txBody>
    </xdr:sp>
    <xdr:clientData/>
  </xdr:twoCellAnchor>
  <xdr:twoCellAnchor editAs="oneCell">
    <xdr:from>
      <xdr:col>12</xdr:col>
      <xdr:colOff>137160</xdr:colOff>
      <xdr:row>68</xdr:row>
      <xdr:rowOff>162000</xdr:rowOff>
    </xdr:from>
    <xdr:to>
      <xdr:col>13</xdr:col>
      <xdr:colOff>443880</xdr:colOff>
      <xdr:row>68</xdr:row>
      <xdr:rowOff>165960</xdr:rowOff>
    </xdr:to>
    <xdr:sp>
      <xdr:nvSpPr>
        <xdr:cNvPr id="380" name="CustomShape 1"/>
        <xdr:cNvSpPr/>
      </xdr:nvSpPr>
      <xdr:spPr>
        <a:xfrm>
          <a:off x="6782760" y="12292920"/>
          <a:ext cx="83196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731520</xdr:colOff>
      <xdr:row>68</xdr:row>
      <xdr:rowOff>27360</xdr:rowOff>
    </xdr:from>
    <xdr:to>
      <xdr:col>12</xdr:col>
      <xdr:colOff>98640</xdr:colOff>
      <xdr:row>69</xdr:row>
      <xdr:rowOff>112680</xdr:rowOff>
    </xdr:to>
    <xdr:sp>
      <xdr:nvSpPr>
        <xdr:cNvPr id="381" name="CustomShape 1"/>
        <xdr:cNvSpPr/>
      </xdr:nvSpPr>
      <xdr:spPr>
        <a:xfrm>
          <a:off x="6131520" y="12158280"/>
          <a:ext cx="6127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SOSC</a:t>
          </a:r>
          <a:endParaRPr/>
        </a:p>
      </xdr:txBody>
    </xdr:sp>
    <xdr:clientData/>
  </xdr:twoCellAnchor>
  <xdr:twoCellAnchor editAs="oneCell">
    <xdr:from>
      <xdr:col>12</xdr:col>
      <xdr:colOff>226800</xdr:colOff>
      <xdr:row>70</xdr:row>
      <xdr:rowOff>169200</xdr:rowOff>
    </xdr:from>
    <xdr:to>
      <xdr:col>13</xdr:col>
      <xdr:colOff>447840</xdr:colOff>
      <xdr:row>70</xdr:row>
      <xdr:rowOff>171360</xdr:rowOff>
    </xdr:to>
    <xdr:sp>
      <xdr:nvSpPr>
        <xdr:cNvPr id="382" name="CustomShape 1"/>
        <xdr:cNvSpPr/>
      </xdr:nvSpPr>
      <xdr:spPr>
        <a:xfrm>
          <a:off x="6872400" y="12650760"/>
          <a:ext cx="746280" cy="21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642600</xdr:colOff>
      <xdr:row>70</xdr:row>
      <xdr:rowOff>34920</xdr:rowOff>
    </xdr:from>
    <xdr:to>
      <xdr:col>12</xdr:col>
      <xdr:colOff>187200</xdr:colOff>
      <xdr:row>71</xdr:row>
      <xdr:rowOff>120600</xdr:rowOff>
    </xdr:to>
    <xdr:sp>
      <xdr:nvSpPr>
        <xdr:cNvPr id="383" name="CustomShape 1"/>
        <xdr:cNvSpPr/>
      </xdr:nvSpPr>
      <xdr:spPr>
        <a:xfrm>
          <a:off x="6042600" y="12516480"/>
          <a:ext cx="79020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PBCLK1</a:t>
          </a:r>
          <a:endParaRPr/>
        </a:p>
      </xdr:txBody>
    </xdr:sp>
    <xdr:clientData/>
  </xdr:twoCellAnchor>
  <xdr:twoCellAnchor editAs="oneCell">
    <xdr:from>
      <xdr:col>12</xdr:col>
      <xdr:colOff>231120</xdr:colOff>
      <xdr:row>72</xdr:row>
      <xdr:rowOff>171360</xdr:rowOff>
    </xdr:from>
    <xdr:to>
      <xdr:col>13</xdr:col>
      <xdr:colOff>443880</xdr:colOff>
      <xdr:row>72</xdr:row>
      <xdr:rowOff>175320</xdr:rowOff>
    </xdr:to>
    <xdr:sp>
      <xdr:nvSpPr>
        <xdr:cNvPr id="384" name="CustomShape 1"/>
        <xdr:cNvSpPr/>
      </xdr:nvSpPr>
      <xdr:spPr>
        <a:xfrm>
          <a:off x="6876720" y="13003200"/>
          <a:ext cx="738000" cy="39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638280</xdr:colOff>
      <xdr:row>72</xdr:row>
      <xdr:rowOff>36720</xdr:rowOff>
    </xdr:from>
    <xdr:to>
      <xdr:col>12</xdr:col>
      <xdr:colOff>191520</xdr:colOff>
      <xdr:row>73</xdr:row>
      <xdr:rowOff>122040</xdr:rowOff>
    </xdr:to>
    <xdr:sp>
      <xdr:nvSpPr>
        <xdr:cNvPr id="385" name="CustomShape 1"/>
        <xdr:cNvSpPr/>
      </xdr:nvSpPr>
      <xdr:spPr>
        <a:xfrm>
          <a:off x="6038280" y="12868560"/>
          <a:ext cx="79884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SYSCLK</a:t>
          </a:r>
          <a:endParaRPr/>
        </a:p>
      </xdr:txBody>
    </xdr:sp>
    <xdr:clientData/>
  </xdr:twoCellAnchor>
  <xdr:twoCellAnchor editAs="oneCell">
    <xdr:from>
      <xdr:col>12</xdr:col>
      <xdr:colOff>200520</xdr:colOff>
      <xdr:row>75</xdr:row>
      <xdr:rowOff>360</xdr:rowOff>
    </xdr:from>
    <xdr:to>
      <xdr:col>13</xdr:col>
      <xdr:colOff>446040</xdr:colOff>
      <xdr:row>75</xdr:row>
      <xdr:rowOff>5760</xdr:rowOff>
    </xdr:to>
    <xdr:sp>
      <xdr:nvSpPr>
        <xdr:cNvPr id="386" name="CustomShape 1"/>
        <xdr:cNvSpPr/>
      </xdr:nvSpPr>
      <xdr:spPr>
        <a:xfrm>
          <a:off x="6846120" y="13358160"/>
          <a:ext cx="770760" cy="54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384480</xdr:colOff>
      <xdr:row>74</xdr:row>
      <xdr:rowOff>42480</xdr:rowOff>
    </xdr:from>
    <xdr:to>
      <xdr:col>12</xdr:col>
      <xdr:colOff>64440</xdr:colOff>
      <xdr:row>75</xdr:row>
      <xdr:rowOff>127800</xdr:rowOff>
    </xdr:to>
    <xdr:sp>
      <xdr:nvSpPr>
        <xdr:cNvPr id="387" name="CustomShape 1"/>
        <xdr:cNvSpPr/>
      </xdr:nvSpPr>
      <xdr:spPr>
        <a:xfrm>
          <a:off x="5784480" y="13224960"/>
          <a:ext cx="92556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REFCLKIx</a:t>
          </a:r>
          <a:endParaRPr/>
        </a:p>
      </xdr:txBody>
    </xdr:sp>
    <xdr:clientData/>
  </xdr:twoCellAnchor>
  <xdr:twoCellAnchor editAs="absolute">
    <xdr:from>
      <xdr:col>12</xdr:col>
      <xdr:colOff>55440</xdr:colOff>
      <xdr:row>74</xdr:row>
      <xdr:rowOff>102960</xdr:rowOff>
    </xdr:from>
    <xdr:to>
      <xdr:col>12</xdr:col>
      <xdr:colOff>199800</xdr:colOff>
      <xdr:row>75</xdr:row>
      <xdr:rowOff>72360</xdr:rowOff>
    </xdr:to>
    <xdr:sp>
      <xdr:nvSpPr>
        <xdr:cNvPr id="388" name="CustomShape 1"/>
        <xdr:cNvSpPr/>
      </xdr:nvSpPr>
      <xdr:spPr>
        <a:xfrm>
          <a:off x="6701040" y="1328544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12</xdr:col>
      <xdr:colOff>49680</xdr:colOff>
      <xdr:row>74</xdr:row>
      <xdr:rowOff>97560</xdr:rowOff>
    </xdr:from>
    <xdr:to>
      <xdr:col>12</xdr:col>
      <xdr:colOff>198360</xdr:colOff>
      <xdr:row>75</xdr:row>
      <xdr:rowOff>74520</xdr:rowOff>
    </xdr:to>
    <xdr:sp>
      <xdr:nvSpPr>
        <xdr:cNvPr id="389" name="Line 1"/>
        <xdr:cNvSpPr/>
      </xdr:nvSpPr>
      <xdr:spPr>
        <a:xfrm flipV="1">
          <a:off x="6695280" y="1328004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12</xdr:col>
      <xdr:colOff>55440</xdr:colOff>
      <xdr:row>74</xdr:row>
      <xdr:rowOff>106560</xdr:rowOff>
    </xdr:from>
    <xdr:to>
      <xdr:col>12</xdr:col>
      <xdr:colOff>205920</xdr:colOff>
      <xdr:row>75</xdr:row>
      <xdr:rowOff>72720</xdr:rowOff>
    </xdr:to>
    <xdr:sp>
      <xdr:nvSpPr>
        <xdr:cNvPr id="390" name="Line 1"/>
        <xdr:cNvSpPr/>
      </xdr:nvSpPr>
      <xdr:spPr>
        <a:xfrm flipH="1" flipV="1">
          <a:off x="6701040" y="1328904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9</xdr:col>
      <xdr:colOff>278640</xdr:colOff>
      <xdr:row>76</xdr:row>
      <xdr:rowOff>128160</xdr:rowOff>
    </xdr:from>
    <xdr:to>
      <xdr:col>11</xdr:col>
      <xdr:colOff>315720</xdr:colOff>
      <xdr:row>79</xdr:row>
      <xdr:rowOff>82440</xdr:rowOff>
    </xdr:to>
    <xdr:sp>
      <xdr:nvSpPr>
        <xdr:cNvPr id="391" name="CustomShape 1"/>
        <xdr:cNvSpPr/>
      </xdr:nvSpPr>
      <xdr:spPr>
        <a:xfrm>
          <a:off x="5028120" y="13661280"/>
          <a:ext cx="1447560" cy="4798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45720" rIns="45720" tIns="18360" bIns="18360"/>
        <a:p>
          <a:r>
            <a:rPr b="1" lang="de-DE" sz="1400" strike="noStrike">
              <a:solidFill>
                <a:srgbClr val="000000"/>
              </a:solidFill>
              <a:latin typeface="Arial"/>
            </a:rPr>
            <a:t>Enter external clock frequency</a:t>
          </a:r>
          <a:endParaRPr/>
        </a:p>
      </xdr:txBody>
    </xdr:sp>
    <xdr:clientData/>
  </xdr:twoCellAnchor>
  <xdr:twoCellAnchor editAs="oneCell">
    <xdr:from>
      <xdr:col>11</xdr:col>
      <xdr:colOff>370080</xdr:colOff>
      <xdr:row>75</xdr:row>
      <xdr:rowOff>89280</xdr:rowOff>
    </xdr:from>
    <xdr:to>
      <xdr:col>12</xdr:col>
      <xdr:colOff>293400</xdr:colOff>
      <xdr:row>77</xdr:row>
      <xdr:rowOff>58320</xdr:rowOff>
    </xdr:to>
    <xdr:sp>
      <xdr:nvSpPr>
        <xdr:cNvPr id="392" name="CustomShape 1"/>
        <xdr:cNvSpPr/>
      </xdr:nvSpPr>
      <xdr:spPr>
        <a:xfrm flipV="1">
          <a:off x="6530040" y="13447080"/>
          <a:ext cx="408960" cy="319320"/>
        </a:xfrm>
        <a:prstGeom prst="straightConnector1">
          <a:avLst/>
        </a:prstGeom>
        <a:noFill/>
        <a:ln w="381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133560</xdr:colOff>
      <xdr:row>70</xdr:row>
      <xdr:rowOff>97560</xdr:rowOff>
    </xdr:from>
    <xdr:to>
      <xdr:col>19</xdr:col>
      <xdr:colOff>118080</xdr:colOff>
      <xdr:row>70</xdr:row>
      <xdr:rowOff>104760</xdr:rowOff>
    </xdr:to>
    <xdr:sp>
      <xdr:nvSpPr>
        <xdr:cNvPr id="393" name="CustomShape 1"/>
        <xdr:cNvSpPr/>
      </xdr:nvSpPr>
      <xdr:spPr>
        <a:xfrm flipV="1">
          <a:off x="10486440" y="12579120"/>
          <a:ext cx="392040" cy="720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19</xdr:col>
      <xdr:colOff>253800</xdr:colOff>
      <xdr:row>67</xdr:row>
      <xdr:rowOff>11520</xdr:rowOff>
    </xdr:from>
    <xdr:to>
      <xdr:col>19</xdr:col>
      <xdr:colOff>398160</xdr:colOff>
      <xdr:row>67</xdr:row>
      <xdr:rowOff>156240</xdr:rowOff>
    </xdr:to>
    <xdr:sp>
      <xdr:nvSpPr>
        <xdr:cNvPr id="394" name="CustomShape 1"/>
        <xdr:cNvSpPr/>
      </xdr:nvSpPr>
      <xdr:spPr>
        <a:xfrm>
          <a:off x="11014200" y="11967120"/>
          <a:ext cx="144360" cy="1447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19</xdr:col>
      <xdr:colOff>247680</xdr:colOff>
      <xdr:row>67</xdr:row>
      <xdr:rowOff>6120</xdr:rowOff>
    </xdr:from>
    <xdr:to>
      <xdr:col>19</xdr:col>
      <xdr:colOff>396360</xdr:colOff>
      <xdr:row>67</xdr:row>
      <xdr:rowOff>158400</xdr:rowOff>
    </xdr:to>
    <xdr:sp>
      <xdr:nvSpPr>
        <xdr:cNvPr id="395" name="Line 1"/>
        <xdr:cNvSpPr/>
      </xdr:nvSpPr>
      <xdr:spPr>
        <a:xfrm flipV="1">
          <a:off x="11008080" y="11961720"/>
          <a:ext cx="148680" cy="1522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19</xdr:col>
      <xdr:colOff>253440</xdr:colOff>
      <xdr:row>67</xdr:row>
      <xdr:rowOff>15120</xdr:rowOff>
    </xdr:from>
    <xdr:to>
      <xdr:col>19</xdr:col>
      <xdr:colOff>403920</xdr:colOff>
      <xdr:row>67</xdr:row>
      <xdr:rowOff>156600</xdr:rowOff>
    </xdr:to>
    <xdr:sp>
      <xdr:nvSpPr>
        <xdr:cNvPr id="396" name="Line 1"/>
        <xdr:cNvSpPr/>
      </xdr:nvSpPr>
      <xdr:spPr>
        <a:xfrm flipH="1" flipV="1">
          <a:off x="11013840" y="11970720"/>
          <a:ext cx="150480" cy="1414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oneCell">
    <xdr:from>
      <xdr:col>18</xdr:col>
      <xdr:colOff>141480</xdr:colOff>
      <xdr:row>67</xdr:row>
      <xdr:rowOff>74880</xdr:rowOff>
    </xdr:from>
    <xdr:to>
      <xdr:col>18</xdr:col>
      <xdr:colOff>141840</xdr:colOff>
      <xdr:row>70</xdr:row>
      <xdr:rowOff>97560</xdr:rowOff>
    </xdr:to>
    <xdr:sp>
      <xdr:nvSpPr>
        <xdr:cNvPr id="397" name="CustomShape 1"/>
        <xdr:cNvSpPr/>
      </xdr:nvSpPr>
      <xdr:spPr>
        <a:xfrm>
          <a:off x="10494360" y="12030480"/>
          <a:ext cx="360" cy="54864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19</xdr:col>
      <xdr:colOff>106560</xdr:colOff>
      <xdr:row>69</xdr:row>
      <xdr:rowOff>135720</xdr:rowOff>
    </xdr:from>
    <xdr:to>
      <xdr:col>22</xdr:col>
      <xdr:colOff>69840</xdr:colOff>
      <xdr:row>73</xdr:row>
      <xdr:rowOff>57960</xdr:rowOff>
    </xdr:to>
    <xdr:sp>
      <xdr:nvSpPr>
        <xdr:cNvPr id="398" name="CustomShape 1"/>
        <xdr:cNvSpPr/>
      </xdr:nvSpPr>
      <xdr:spPr>
        <a:xfrm>
          <a:off x="10866960" y="12441960"/>
          <a:ext cx="1428840" cy="623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SPI (REFCLK1)</a:t>
          </a:r>
          <a:endParaRPr/>
        </a:p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ADC (REFCLK3)</a:t>
          </a:r>
          <a:endParaRPr/>
        </a:p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SQI (REFCLK2</a:t>
          </a:r>
          <a:r>
            <a:rPr b="1" lang="de-DE" sz="1200" strike="noStrike">
              <a:solidFill>
                <a:srgbClr val="000000"/>
              </a:solidFill>
              <a:latin typeface="Arial"/>
            </a:rPr>
            <a:t>)</a:t>
          </a:r>
          <a:endParaRPr/>
        </a:p>
      </xdr:txBody>
    </xdr:sp>
    <xdr:clientData/>
  </xdr:twoCellAnchor>
  <xdr:twoCellAnchor editAs="oneCell">
    <xdr:from>
      <xdr:col>19</xdr:col>
      <xdr:colOff>375120</xdr:colOff>
      <xdr:row>66</xdr:row>
      <xdr:rowOff>120600</xdr:rowOff>
    </xdr:from>
    <xdr:to>
      <xdr:col>22</xdr:col>
      <xdr:colOff>42480</xdr:colOff>
      <xdr:row>68</xdr:row>
      <xdr:rowOff>30600</xdr:rowOff>
    </xdr:to>
    <xdr:sp>
      <xdr:nvSpPr>
        <xdr:cNvPr id="399" name="CustomShape 1"/>
        <xdr:cNvSpPr/>
      </xdr:nvSpPr>
      <xdr:spPr>
        <a:xfrm>
          <a:off x="11135520" y="11900880"/>
          <a:ext cx="113292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1" lang="de-DE" sz="1200" strike="noStrike">
              <a:solidFill>
                <a:srgbClr val="000000"/>
              </a:solidFill>
              <a:latin typeface="Arial"/>
            </a:rPr>
            <a:t>REFCLKOx =</a:t>
          </a:r>
          <a:endParaRPr/>
        </a:p>
      </xdr:txBody>
    </xdr:sp>
    <xdr:clientData/>
  </xdr:twoCellAnchor>
  <xdr:twoCellAnchor editAs="oneCell">
    <xdr:from>
      <xdr:col>19</xdr:col>
      <xdr:colOff>50040</xdr:colOff>
      <xdr:row>65</xdr:row>
      <xdr:rowOff>59760</xdr:rowOff>
    </xdr:from>
    <xdr:to>
      <xdr:col>19</xdr:col>
      <xdr:colOff>56520</xdr:colOff>
      <xdr:row>67</xdr:row>
      <xdr:rowOff>66960</xdr:rowOff>
    </xdr:to>
    <xdr:sp>
      <xdr:nvSpPr>
        <xdr:cNvPr id="400" name="CustomShape 1"/>
        <xdr:cNvSpPr/>
      </xdr:nvSpPr>
      <xdr:spPr>
        <a:xfrm flipH="1">
          <a:off x="10810440" y="11664720"/>
          <a:ext cx="6480" cy="3578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116640</xdr:colOff>
      <xdr:row>62</xdr:row>
      <xdr:rowOff>14040</xdr:rowOff>
    </xdr:from>
    <xdr:to>
      <xdr:col>19</xdr:col>
      <xdr:colOff>392400</xdr:colOff>
      <xdr:row>65</xdr:row>
      <xdr:rowOff>59400</xdr:rowOff>
    </xdr:to>
    <xdr:sp>
      <xdr:nvSpPr>
        <xdr:cNvPr id="401" name="CustomShape 1"/>
        <xdr:cNvSpPr/>
      </xdr:nvSpPr>
      <xdr:spPr>
        <a:xfrm>
          <a:off x="10469520" y="11093400"/>
          <a:ext cx="683280" cy="57096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REFCLK Out Enable</a:t>
          </a:r>
          <a:endParaRPr/>
        </a:p>
      </xdr:txBody>
    </xdr:sp>
    <xdr:clientData/>
  </xdr:twoCellAnchor>
  <xdr:twoCellAnchor editAs="oneCell">
    <xdr:from>
      <xdr:col>15</xdr:col>
      <xdr:colOff>87840</xdr:colOff>
      <xdr:row>66</xdr:row>
      <xdr:rowOff>113040</xdr:rowOff>
    </xdr:from>
    <xdr:to>
      <xdr:col>16</xdr:col>
      <xdr:colOff>376920</xdr:colOff>
      <xdr:row>68</xdr:row>
      <xdr:rowOff>127800</xdr:rowOff>
    </xdr:to>
    <xdr:sp>
      <xdr:nvSpPr>
        <xdr:cNvPr id="402" name="CustomShape 1"/>
        <xdr:cNvSpPr/>
      </xdr:nvSpPr>
      <xdr:spPr>
        <a:xfrm>
          <a:off x="8700840" y="11893320"/>
          <a:ext cx="696600" cy="365400"/>
        </a:xfrm>
        <a:prstGeom prst="roundRect">
          <a:avLst>
            <a:gd name="adj" fmla="val 16667"/>
          </a:avLst>
        </a:prstGeom>
        <a:solidFill>
          <a:srgbClr val="45599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lang="de-DE" sz="1100" strike="noStrike">
              <a:solidFill>
                <a:srgbClr val="ffffff"/>
              </a:solidFill>
              <a:latin typeface="Arial"/>
            </a:rPr>
            <a:t>REFCLK Divider</a:t>
          </a:r>
          <a:endParaRPr/>
        </a:p>
      </xdr:txBody>
    </xdr:sp>
    <xdr:clientData/>
  </xdr:twoCellAnchor>
  <xdr:twoCellAnchor editAs="oneCell">
    <xdr:from>
      <xdr:col>14</xdr:col>
      <xdr:colOff>529920</xdr:colOff>
      <xdr:row>58</xdr:row>
      <xdr:rowOff>135720</xdr:rowOff>
    </xdr:from>
    <xdr:to>
      <xdr:col>18</xdr:col>
      <xdr:colOff>263880</xdr:colOff>
      <xdr:row>61</xdr:row>
      <xdr:rowOff>51840</xdr:rowOff>
    </xdr:to>
    <xdr:sp>
      <xdr:nvSpPr>
        <xdr:cNvPr id="403" name="CustomShape 1"/>
        <xdr:cNvSpPr/>
      </xdr:nvSpPr>
      <xdr:spPr>
        <a:xfrm>
          <a:off x="8460720" y="10514160"/>
          <a:ext cx="2156040" cy="44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Enter:  trimValue (0 to 511)</a:t>
          </a:r>
          <a:endParaRPr/>
        </a:p>
        <a:p>
          <a:pPr>
            <a:lnSpc>
              <a:spcPct val="100000"/>
            </a:lnSpc>
          </a:pPr>
          <a:r>
            <a:rPr b="1" lang="de-DE" sz="1100" strike="noStrike">
              <a:solidFill>
                <a:srgbClr val="000000"/>
              </a:solidFill>
              <a:latin typeface="Arial"/>
            </a:rPr>
            <a:t>            </a:t>
          </a:r>
          <a:r>
            <a:rPr b="1" lang="de-DE" sz="1100" strike="noStrike">
              <a:solidFill>
                <a:srgbClr val="000000"/>
              </a:solidFill>
              <a:latin typeface="Arial"/>
            </a:rPr>
            <a:t>refOscDiv (0 to 32767)</a:t>
          </a:r>
          <a:endParaRPr/>
        </a:p>
      </xdr:txBody>
    </xdr:sp>
    <xdr:clientData/>
  </xdr:twoCellAnchor>
  <xdr:twoCellAnchor editAs="oneCell">
    <xdr:from>
      <xdr:col>16</xdr:col>
      <xdr:colOff>392040</xdr:colOff>
      <xdr:row>61</xdr:row>
      <xdr:rowOff>51840</xdr:rowOff>
    </xdr:from>
    <xdr:to>
      <xdr:col>16</xdr:col>
      <xdr:colOff>547920</xdr:colOff>
      <xdr:row>63</xdr:row>
      <xdr:rowOff>104760</xdr:rowOff>
    </xdr:to>
    <xdr:sp>
      <xdr:nvSpPr>
        <xdr:cNvPr id="404" name="CustomShape 1"/>
        <xdr:cNvSpPr/>
      </xdr:nvSpPr>
      <xdr:spPr>
        <a:xfrm flipH="1">
          <a:off x="9412560" y="10955880"/>
          <a:ext cx="155880" cy="40356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20</xdr:col>
      <xdr:colOff>225000</xdr:colOff>
      <xdr:row>59</xdr:row>
      <xdr:rowOff>90000</xdr:rowOff>
    </xdr:from>
    <xdr:to>
      <xdr:col>25</xdr:col>
      <xdr:colOff>170280</xdr:colOff>
      <xdr:row>63</xdr:row>
      <xdr:rowOff>150480</xdr:rowOff>
    </xdr:to>
    <xdr:sp>
      <xdr:nvSpPr>
        <xdr:cNvPr id="405" name="CustomShape 1"/>
        <xdr:cNvSpPr/>
      </xdr:nvSpPr>
      <xdr:spPr>
        <a:xfrm>
          <a:off x="11494800" y="10643400"/>
          <a:ext cx="2830680" cy="761760"/>
        </a:xfrm>
        <a:prstGeom prst="rect">
          <a:avLst/>
        </a:prstGeom>
        <a:solidFill>
          <a:schemeClr val="bg1"/>
        </a:solidFill>
        <a:ln w="1260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20</xdr:col>
      <xdr:colOff>300960</xdr:colOff>
      <xdr:row>60</xdr:row>
      <xdr:rowOff>74880</xdr:rowOff>
    </xdr:from>
    <xdr:to>
      <xdr:col>22</xdr:col>
      <xdr:colOff>166680</xdr:colOff>
      <xdr:row>62</xdr:row>
      <xdr:rowOff>8280</xdr:rowOff>
    </xdr:to>
    <xdr:sp>
      <xdr:nvSpPr>
        <xdr:cNvPr id="406" name="CustomShape 1"/>
        <xdr:cNvSpPr/>
      </xdr:nvSpPr>
      <xdr:spPr>
        <a:xfrm>
          <a:off x="11570760" y="10803600"/>
          <a:ext cx="821880" cy="284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200" strike="noStrike" baseline="-25000">
              <a:solidFill>
                <a:srgbClr val="000000"/>
              </a:solidFill>
              <a:latin typeface="Arial"/>
            </a:rPr>
            <a:t>REFCLKO</a:t>
          </a:r>
          <a:r>
            <a:rPr lang="de-DE" sz="1200" strike="noStrike">
              <a:solidFill>
                <a:srgbClr val="000000"/>
              </a:solidFill>
              <a:latin typeface="Arial"/>
            </a:rPr>
            <a:t> =</a:t>
          </a:r>
          <a:endParaRPr/>
        </a:p>
      </xdr:txBody>
    </xdr:sp>
    <xdr:clientData/>
  </xdr:twoCellAnchor>
  <xdr:twoCellAnchor editAs="absolute">
    <xdr:from>
      <xdr:col>23</xdr:col>
      <xdr:colOff>104040</xdr:colOff>
      <xdr:row>59</xdr:row>
      <xdr:rowOff>90000</xdr:rowOff>
    </xdr:from>
    <xdr:to>
      <xdr:col>24</xdr:col>
      <xdr:colOff>15480</xdr:colOff>
      <xdr:row>61</xdr:row>
      <xdr:rowOff>23400</xdr:rowOff>
    </xdr:to>
    <xdr:sp>
      <xdr:nvSpPr>
        <xdr:cNvPr id="407" name="CustomShape 1"/>
        <xdr:cNvSpPr/>
      </xdr:nvSpPr>
      <xdr:spPr>
        <a:xfrm>
          <a:off x="13004640" y="10643400"/>
          <a:ext cx="538560" cy="2840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200" strike="noStrike" baseline="-25000">
              <a:solidFill>
                <a:srgbClr val="000000"/>
              </a:solidFill>
              <a:latin typeface="Arial"/>
            </a:rPr>
            <a:t>REFIN</a:t>
          </a:r>
          <a:endParaRPr/>
        </a:p>
      </xdr:txBody>
    </xdr:sp>
    <xdr:clientData/>
  </xdr:twoCellAnchor>
  <xdr:twoCellAnchor editAs="absolute">
    <xdr:from>
      <xdr:col>22</xdr:col>
      <xdr:colOff>28800</xdr:colOff>
      <xdr:row>61</xdr:row>
      <xdr:rowOff>128160</xdr:rowOff>
    </xdr:from>
    <xdr:to>
      <xdr:col>23</xdr:col>
      <xdr:colOff>546840</xdr:colOff>
      <xdr:row>63</xdr:row>
      <xdr:rowOff>38160</xdr:rowOff>
    </xdr:to>
    <xdr:sp>
      <xdr:nvSpPr>
        <xdr:cNvPr id="408" name="CustomShape 1"/>
        <xdr:cNvSpPr/>
      </xdr:nvSpPr>
      <xdr:spPr>
        <a:xfrm>
          <a:off x="12254760" y="11032200"/>
          <a:ext cx="1192680" cy="2606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2   refOscDiv +</a:t>
          </a:r>
          <a:endParaRPr/>
        </a:p>
      </xdr:txBody>
    </xdr:sp>
    <xdr:clientData/>
  </xdr:twoCellAnchor>
  <xdr:twoCellAnchor editAs="absolute">
    <xdr:from>
      <xdr:col>22</xdr:col>
      <xdr:colOff>168120</xdr:colOff>
      <xdr:row>60</xdr:row>
      <xdr:rowOff>151200</xdr:rowOff>
    </xdr:from>
    <xdr:to>
      <xdr:col>25</xdr:col>
      <xdr:colOff>139320</xdr:colOff>
      <xdr:row>63</xdr:row>
      <xdr:rowOff>113040</xdr:rowOff>
    </xdr:to>
    <xdr:sp>
      <xdr:nvSpPr>
        <xdr:cNvPr id="409" name="CustomShape 1"/>
        <xdr:cNvSpPr/>
      </xdr:nvSpPr>
      <xdr:spPr>
        <a:xfrm>
          <a:off x="12394080" y="10879920"/>
          <a:ext cx="1900440" cy="4878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2800" strike="noStrike">
              <a:solidFill>
                <a:srgbClr val="000000"/>
              </a:solidFill>
              <a:latin typeface="Arial"/>
            </a:rPr>
            <a:t>(               )</a:t>
          </a:r>
          <a:endParaRPr/>
        </a:p>
      </xdr:txBody>
    </xdr:sp>
    <xdr:clientData/>
  </xdr:twoCellAnchor>
  <xdr:twoCellAnchor editAs="absolute">
    <xdr:from>
      <xdr:col>22</xdr:col>
      <xdr:colOff>178200</xdr:colOff>
      <xdr:row>61</xdr:row>
      <xdr:rowOff>36720</xdr:rowOff>
    </xdr:from>
    <xdr:to>
      <xdr:col>25</xdr:col>
      <xdr:colOff>58680</xdr:colOff>
      <xdr:row>61</xdr:row>
      <xdr:rowOff>37080</xdr:rowOff>
    </xdr:to>
    <xdr:sp>
      <xdr:nvSpPr>
        <xdr:cNvPr id="410" name="CustomShape 1"/>
        <xdr:cNvSpPr/>
      </xdr:nvSpPr>
      <xdr:spPr>
        <a:xfrm>
          <a:off x="12404160" y="10940760"/>
          <a:ext cx="180972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23</xdr:col>
      <xdr:colOff>452160</xdr:colOff>
      <xdr:row>61</xdr:row>
      <xdr:rowOff>44280</xdr:rowOff>
    </xdr:from>
    <xdr:to>
      <xdr:col>25</xdr:col>
      <xdr:colOff>10440</xdr:colOff>
      <xdr:row>63</xdr:row>
      <xdr:rowOff>124560</xdr:rowOff>
    </xdr:to>
    <xdr:sp>
      <xdr:nvSpPr>
        <xdr:cNvPr id="411" name="CustomShape 1"/>
        <xdr:cNvSpPr/>
      </xdr:nvSpPr>
      <xdr:spPr>
        <a:xfrm>
          <a:off x="13352760" y="10948320"/>
          <a:ext cx="812880" cy="4309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trimValue</a:t>
          </a:r>
          <a:endParaRPr/>
        </a:p>
        <a:p>
          <a:pPr algn="ctr">
            <a:lnSpc>
              <a:spcPct val="100000"/>
            </a:lnSpc>
          </a:pPr>
          <a:r>
            <a:rPr lang="de-DE" sz="1200" strike="noStrike">
              <a:solidFill>
                <a:srgbClr val="000000"/>
              </a:solidFill>
              <a:latin typeface="Arial"/>
            </a:rPr>
            <a:t>512</a:t>
          </a:r>
          <a:endParaRPr/>
        </a:p>
      </xdr:txBody>
    </xdr:sp>
    <xdr:clientData/>
  </xdr:twoCellAnchor>
  <xdr:twoCellAnchor editAs="absolute">
    <xdr:from>
      <xdr:col>23</xdr:col>
      <xdr:colOff>508320</xdr:colOff>
      <xdr:row>62</xdr:row>
      <xdr:rowOff>90000</xdr:rowOff>
    </xdr:from>
    <xdr:to>
      <xdr:col>24</xdr:col>
      <xdr:colOff>574560</xdr:colOff>
      <xdr:row>62</xdr:row>
      <xdr:rowOff>90360</xdr:rowOff>
    </xdr:to>
    <xdr:sp>
      <xdr:nvSpPr>
        <xdr:cNvPr id="412" name="CustomShape 1"/>
        <xdr:cNvSpPr/>
      </xdr:nvSpPr>
      <xdr:spPr>
        <a:xfrm>
          <a:off x="13408920" y="11169360"/>
          <a:ext cx="693360" cy="360"/>
        </a:xfrm>
        <a:prstGeom prst="straightConnector1">
          <a:avLst/>
        </a:prstGeom>
        <a:noFill/>
        <a:ln w="2556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400320</xdr:colOff>
      <xdr:row>64</xdr:row>
      <xdr:rowOff>67320</xdr:rowOff>
    </xdr:from>
    <xdr:to>
      <xdr:col>22</xdr:col>
      <xdr:colOff>590400</xdr:colOff>
      <xdr:row>66</xdr:row>
      <xdr:rowOff>102960</xdr:rowOff>
    </xdr:to>
    <xdr:sp>
      <xdr:nvSpPr>
        <xdr:cNvPr id="413" name="CustomShape 1"/>
        <xdr:cNvSpPr/>
      </xdr:nvSpPr>
      <xdr:spPr>
        <a:xfrm flipH="1">
          <a:off x="12626280" y="11497320"/>
          <a:ext cx="190080" cy="3859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240480</xdr:colOff>
      <xdr:row>71</xdr:row>
      <xdr:rowOff>128160</xdr:rowOff>
    </xdr:from>
    <xdr:to>
      <xdr:col>10</xdr:col>
      <xdr:colOff>488880</xdr:colOff>
      <xdr:row>74</xdr:row>
      <xdr:rowOff>43920</xdr:rowOff>
    </xdr:to>
    <xdr:sp>
      <xdr:nvSpPr>
        <xdr:cNvPr id="414" name="CustomShape 1"/>
        <xdr:cNvSpPr/>
      </xdr:nvSpPr>
      <xdr:spPr>
        <a:xfrm>
          <a:off x="4989960" y="12784680"/>
          <a:ext cx="898920" cy="44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3 REFCLK inputs</a:t>
          </a:r>
          <a:endParaRPr/>
        </a:p>
      </xdr:txBody>
    </xdr:sp>
    <xdr:clientData/>
  </xdr:twoCellAnchor>
  <xdr:twoCellAnchor editAs="oneCell">
    <xdr:from>
      <xdr:col>10</xdr:col>
      <xdr:colOff>213840</xdr:colOff>
      <xdr:row>73</xdr:row>
      <xdr:rowOff>59760</xdr:rowOff>
    </xdr:from>
    <xdr:to>
      <xdr:col>10</xdr:col>
      <xdr:colOff>461160</xdr:colOff>
      <xdr:row>74</xdr:row>
      <xdr:rowOff>66960</xdr:rowOff>
    </xdr:to>
    <xdr:sp>
      <xdr:nvSpPr>
        <xdr:cNvPr id="415" name="CustomShape 1"/>
        <xdr:cNvSpPr/>
      </xdr:nvSpPr>
      <xdr:spPr>
        <a:xfrm>
          <a:off x="5613840" y="13066920"/>
          <a:ext cx="247320" cy="18252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65160</xdr:colOff>
      <xdr:row>69</xdr:row>
      <xdr:rowOff>6120</xdr:rowOff>
    </xdr:from>
    <xdr:to>
      <xdr:col>24</xdr:col>
      <xdr:colOff>195480</xdr:colOff>
      <xdr:row>70</xdr:row>
      <xdr:rowOff>82080</xdr:rowOff>
    </xdr:to>
    <xdr:sp>
      <xdr:nvSpPr>
        <xdr:cNvPr id="416" name="CustomShape 1"/>
        <xdr:cNvSpPr/>
      </xdr:nvSpPr>
      <xdr:spPr>
        <a:xfrm>
          <a:off x="12291120" y="12312360"/>
          <a:ext cx="1432080" cy="2512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3 REFCLK outputs</a:t>
          </a:r>
          <a:endParaRPr/>
        </a:p>
      </xdr:txBody>
    </xdr:sp>
    <xdr:clientData/>
  </xdr:twoCellAnchor>
  <xdr:twoCellAnchor editAs="oneCell">
    <xdr:from>
      <xdr:col>21</xdr:col>
      <xdr:colOff>315720</xdr:colOff>
      <xdr:row>68</xdr:row>
      <xdr:rowOff>29160</xdr:rowOff>
    </xdr:from>
    <xdr:to>
      <xdr:col>22</xdr:col>
      <xdr:colOff>79200</xdr:colOff>
      <xdr:row>69</xdr:row>
      <xdr:rowOff>43920</xdr:rowOff>
    </xdr:to>
    <xdr:sp>
      <xdr:nvSpPr>
        <xdr:cNvPr id="417" name="CustomShape 1"/>
        <xdr:cNvSpPr/>
      </xdr:nvSpPr>
      <xdr:spPr>
        <a:xfrm flipH="1" flipV="1">
          <a:off x="12063600" y="12160080"/>
          <a:ext cx="241560" cy="190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20</xdr:col>
      <xdr:colOff>415800</xdr:colOff>
      <xdr:row>22</xdr:row>
      <xdr:rowOff>90000</xdr:rowOff>
    </xdr:from>
    <xdr:to>
      <xdr:col>23</xdr:col>
      <xdr:colOff>346680</xdr:colOff>
      <xdr:row>25</xdr:row>
      <xdr:rowOff>142920</xdr:rowOff>
    </xdr:to>
    <xdr:sp>
      <xdr:nvSpPr>
        <xdr:cNvPr id="418" name="CustomShape 1"/>
        <xdr:cNvSpPr/>
      </xdr:nvSpPr>
      <xdr:spPr>
        <a:xfrm>
          <a:off x="11685600" y="4136040"/>
          <a:ext cx="1561680" cy="578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Each peripheral clock (except PBCLK1) can be disabled.</a:t>
          </a:r>
          <a:endParaRPr/>
        </a:p>
      </xdr:txBody>
    </xdr:sp>
    <xdr:clientData/>
  </xdr:twoCellAnchor>
  <xdr:twoCellAnchor editAs="oneCell">
    <xdr:from>
      <xdr:col>20</xdr:col>
      <xdr:colOff>285480</xdr:colOff>
      <xdr:row>25</xdr:row>
      <xdr:rowOff>29160</xdr:rowOff>
    </xdr:from>
    <xdr:to>
      <xdr:col>20</xdr:col>
      <xdr:colOff>452880</xdr:colOff>
      <xdr:row>26</xdr:row>
      <xdr:rowOff>120240</xdr:rowOff>
    </xdr:to>
    <xdr:sp>
      <xdr:nvSpPr>
        <xdr:cNvPr id="419" name="CustomShape 1"/>
        <xdr:cNvSpPr/>
      </xdr:nvSpPr>
      <xdr:spPr>
        <a:xfrm flipH="1">
          <a:off x="11555280" y="4601160"/>
          <a:ext cx="167400" cy="2660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65160</xdr:colOff>
      <xdr:row>40</xdr:row>
      <xdr:rowOff>166320</xdr:rowOff>
    </xdr:from>
    <xdr:to>
      <xdr:col>25</xdr:col>
      <xdr:colOff>67680</xdr:colOff>
      <xdr:row>43</xdr:row>
      <xdr:rowOff>59040</xdr:rowOff>
    </xdr:to>
    <xdr:sp>
      <xdr:nvSpPr>
        <xdr:cNvPr id="420" name="CustomShape 1"/>
        <xdr:cNvSpPr/>
      </xdr:nvSpPr>
      <xdr:spPr>
        <a:xfrm>
          <a:off x="12965760" y="7367040"/>
          <a:ext cx="1257120" cy="418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PBCLK7 is the clock for the core</a:t>
          </a:r>
          <a:endParaRPr/>
        </a:p>
      </xdr:txBody>
    </xdr:sp>
    <xdr:clientData/>
  </xdr:twoCellAnchor>
  <xdr:twoCellAnchor editAs="oneCell">
    <xdr:from>
      <xdr:col>22</xdr:col>
      <xdr:colOff>469080</xdr:colOff>
      <xdr:row>41</xdr:row>
      <xdr:rowOff>120600</xdr:rowOff>
    </xdr:from>
    <xdr:to>
      <xdr:col>23</xdr:col>
      <xdr:colOff>80280</xdr:colOff>
      <xdr:row>42</xdr:row>
      <xdr:rowOff>74520</xdr:rowOff>
    </xdr:to>
    <xdr:sp>
      <xdr:nvSpPr>
        <xdr:cNvPr id="421" name="CustomShape 1"/>
        <xdr:cNvSpPr/>
      </xdr:nvSpPr>
      <xdr:spPr>
        <a:xfrm flipH="1">
          <a:off x="12695040" y="7496640"/>
          <a:ext cx="285840" cy="12924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451080</xdr:colOff>
      <xdr:row>21</xdr:row>
      <xdr:rowOff>166320</xdr:rowOff>
    </xdr:from>
    <xdr:to>
      <xdr:col>5</xdr:col>
      <xdr:colOff>572400</xdr:colOff>
      <xdr:row>22</xdr:row>
      <xdr:rowOff>171720</xdr:rowOff>
    </xdr:to>
    <xdr:sp>
      <xdr:nvSpPr>
        <xdr:cNvPr id="422" name="CustomShape 1"/>
        <xdr:cNvSpPr/>
      </xdr:nvSpPr>
      <xdr:spPr>
        <a:xfrm>
          <a:off x="2457360" y="4037040"/>
          <a:ext cx="121320" cy="180720"/>
        </a:xfrm>
        <a:prstGeom prst="arc">
          <a:avLst>
            <a:gd name="adj1" fmla="val 10852083"/>
            <a:gd name="adj2" fmla="val 0"/>
          </a:avLst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572760</xdr:colOff>
      <xdr:row>21</xdr:row>
      <xdr:rowOff>163800</xdr:rowOff>
    </xdr:from>
    <xdr:to>
      <xdr:col>6</xdr:col>
      <xdr:colOff>90000</xdr:colOff>
      <xdr:row>22</xdr:row>
      <xdr:rowOff>167400</xdr:rowOff>
    </xdr:to>
    <xdr:sp>
      <xdr:nvSpPr>
        <xdr:cNvPr id="423" name="CustomShape 1"/>
        <xdr:cNvSpPr/>
      </xdr:nvSpPr>
      <xdr:spPr>
        <a:xfrm flipV="1">
          <a:off x="2579040" y="4034520"/>
          <a:ext cx="121320" cy="178920"/>
        </a:xfrm>
        <a:prstGeom prst="arc">
          <a:avLst>
            <a:gd name="adj1" fmla="val 10852083"/>
            <a:gd name="adj2" fmla="val 0"/>
          </a:avLst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429120</xdr:colOff>
      <xdr:row>22</xdr:row>
      <xdr:rowOff>84240</xdr:rowOff>
    </xdr:from>
    <xdr:to>
      <xdr:col>6</xdr:col>
      <xdr:colOff>112680</xdr:colOff>
      <xdr:row>22</xdr:row>
      <xdr:rowOff>84600</xdr:rowOff>
    </xdr:to>
    <xdr:sp>
      <xdr:nvSpPr>
        <xdr:cNvPr id="424" name="CustomShape 1"/>
        <xdr:cNvSpPr/>
      </xdr:nvSpPr>
      <xdr:spPr>
        <a:xfrm>
          <a:off x="2435400" y="4130280"/>
          <a:ext cx="287640" cy="360"/>
        </a:xfrm>
        <a:prstGeom prst="straightConnector1">
          <a:avLst/>
        </a:prstGeom>
        <a:noFill/>
        <a:ln w="3240">
          <a:solidFill>
            <a:schemeClr val="tx1"/>
          </a:solidFill>
          <a:custDash>
            <a:ds d="1500000" sp="1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440640</xdr:colOff>
      <xdr:row>21</xdr:row>
      <xdr:rowOff>2520</xdr:rowOff>
    </xdr:from>
    <xdr:to>
      <xdr:col>5</xdr:col>
      <xdr:colOff>442080</xdr:colOff>
      <xdr:row>21</xdr:row>
      <xdr:rowOff>143280</xdr:rowOff>
    </xdr:to>
    <xdr:sp>
      <xdr:nvSpPr>
        <xdr:cNvPr id="425" name="CustomShape 1"/>
        <xdr:cNvSpPr/>
      </xdr:nvSpPr>
      <xdr:spPr>
        <a:xfrm>
          <a:off x="2446920" y="387324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434520</xdr:colOff>
      <xdr:row>21</xdr:row>
      <xdr:rowOff>10080</xdr:rowOff>
    </xdr:from>
    <xdr:to>
      <xdr:col>5</xdr:col>
      <xdr:colOff>572040</xdr:colOff>
      <xdr:row>21</xdr:row>
      <xdr:rowOff>10440</xdr:rowOff>
    </xdr:to>
    <xdr:sp>
      <xdr:nvSpPr>
        <xdr:cNvPr id="426" name="CustomShape 1"/>
        <xdr:cNvSpPr/>
      </xdr:nvSpPr>
      <xdr:spPr>
        <a:xfrm>
          <a:off x="2440800" y="388080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566640</xdr:colOff>
      <xdr:row>21</xdr:row>
      <xdr:rowOff>2520</xdr:rowOff>
    </xdr:from>
    <xdr:to>
      <xdr:col>5</xdr:col>
      <xdr:colOff>568080</xdr:colOff>
      <xdr:row>21</xdr:row>
      <xdr:rowOff>143280</xdr:rowOff>
    </xdr:to>
    <xdr:sp>
      <xdr:nvSpPr>
        <xdr:cNvPr id="427" name="CustomShape 1"/>
        <xdr:cNvSpPr/>
      </xdr:nvSpPr>
      <xdr:spPr>
        <a:xfrm>
          <a:off x="2572920" y="387324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562680</xdr:colOff>
      <xdr:row>21</xdr:row>
      <xdr:rowOff>137520</xdr:rowOff>
    </xdr:from>
    <xdr:to>
      <xdr:col>6</xdr:col>
      <xdr:colOff>96120</xdr:colOff>
      <xdr:row>21</xdr:row>
      <xdr:rowOff>137880</xdr:rowOff>
    </xdr:to>
    <xdr:sp>
      <xdr:nvSpPr>
        <xdr:cNvPr id="428" name="CustomShape 1"/>
        <xdr:cNvSpPr/>
      </xdr:nvSpPr>
      <xdr:spPr>
        <a:xfrm>
          <a:off x="2568960" y="400824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86760</xdr:colOff>
      <xdr:row>21</xdr:row>
      <xdr:rowOff>360</xdr:rowOff>
    </xdr:from>
    <xdr:to>
      <xdr:col>6</xdr:col>
      <xdr:colOff>88200</xdr:colOff>
      <xdr:row>21</xdr:row>
      <xdr:rowOff>141120</xdr:rowOff>
    </xdr:to>
    <xdr:sp>
      <xdr:nvSpPr>
        <xdr:cNvPr id="429" name="CustomShape 1"/>
        <xdr:cNvSpPr/>
      </xdr:nvSpPr>
      <xdr:spPr>
        <a:xfrm>
          <a:off x="2697120" y="387108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84600</xdr:colOff>
      <xdr:row>21</xdr:row>
      <xdr:rowOff>8280</xdr:rowOff>
    </xdr:from>
    <xdr:to>
      <xdr:col>6</xdr:col>
      <xdr:colOff>222120</xdr:colOff>
      <xdr:row>21</xdr:row>
      <xdr:rowOff>8640</xdr:rowOff>
    </xdr:to>
    <xdr:sp>
      <xdr:nvSpPr>
        <xdr:cNvPr id="430" name="CustomShape 1"/>
        <xdr:cNvSpPr/>
      </xdr:nvSpPr>
      <xdr:spPr>
        <a:xfrm>
          <a:off x="2694960" y="387900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218520</xdr:colOff>
      <xdr:row>21</xdr:row>
      <xdr:rowOff>360</xdr:rowOff>
    </xdr:from>
    <xdr:to>
      <xdr:col>6</xdr:col>
      <xdr:colOff>219960</xdr:colOff>
      <xdr:row>21</xdr:row>
      <xdr:rowOff>141120</xdr:rowOff>
    </xdr:to>
    <xdr:sp>
      <xdr:nvSpPr>
        <xdr:cNvPr id="431" name="CustomShape 1"/>
        <xdr:cNvSpPr/>
      </xdr:nvSpPr>
      <xdr:spPr>
        <a:xfrm>
          <a:off x="2828880" y="3871080"/>
          <a:ext cx="1440" cy="1407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6</xdr:col>
      <xdr:colOff>216720</xdr:colOff>
      <xdr:row>21</xdr:row>
      <xdr:rowOff>135720</xdr:rowOff>
    </xdr:from>
    <xdr:to>
      <xdr:col>6</xdr:col>
      <xdr:colOff>354240</xdr:colOff>
      <xdr:row>21</xdr:row>
      <xdr:rowOff>136080</xdr:rowOff>
    </xdr:to>
    <xdr:sp>
      <xdr:nvSpPr>
        <xdr:cNvPr id="432" name="CustomShape 1"/>
        <xdr:cNvSpPr/>
      </xdr:nvSpPr>
      <xdr:spPr>
        <a:xfrm>
          <a:off x="2827080" y="4006440"/>
          <a:ext cx="137520" cy="360"/>
        </a:xfrm>
        <a:prstGeom prst="straightConnector1">
          <a:avLst/>
        </a:prstGeom>
        <a:noFill/>
        <a:ln w="12600"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448560</xdr:colOff>
      <xdr:row>21</xdr:row>
      <xdr:rowOff>141480</xdr:rowOff>
    </xdr:from>
    <xdr:to>
      <xdr:col>6</xdr:col>
      <xdr:colOff>356400</xdr:colOff>
      <xdr:row>21</xdr:row>
      <xdr:rowOff>142920</xdr:rowOff>
    </xdr:to>
    <xdr:sp>
      <xdr:nvSpPr>
        <xdr:cNvPr id="433" name="CustomShape 1"/>
        <xdr:cNvSpPr/>
      </xdr:nvSpPr>
      <xdr:spPr>
        <a:xfrm flipV="1">
          <a:off x="2454840" y="4012200"/>
          <a:ext cx="511920" cy="1440"/>
        </a:xfrm>
        <a:prstGeom prst="straightConnector1">
          <a:avLst/>
        </a:prstGeom>
        <a:noFill/>
        <a:ln w="3240">
          <a:solidFill>
            <a:schemeClr val="tx1"/>
          </a:solidFill>
          <a:custDash>
            <a:ds d="1500000" sp="1100000"/>
          </a:custDash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15</xdr:col>
      <xdr:colOff>179280</xdr:colOff>
      <xdr:row>69</xdr:row>
      <xdr:rowOff>166320</xdr:rowOff>
    </xdr:from>
    <xdr:to>
      <xdr:col>16</xdr:col>
      <xdr:colOff>350640</xdr:colOff>
      <xdr:row>71</xdr:row>
      <xdr:rowOff>67320</xdr:rowOff>
    </xdr:to>
    <xdr:sp>
      <xdr:nvSpPr>
        <xdr:cNvPr id="434" name="CustomShape 1"/>
        <xdr:cNvSpPr/>
      </xdr:nvSpPr>
      <xdr:spPr>
        <a:xfrm>
          <a:off x="8792280" y="12472560"/>
          <a:ext cx="578880" cy="2512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lang="de-DE" sz="1100" strike="noStrike">
              <a:solidFill>
                <a:srgbClr val="000000"/>
              </a:solidFill>
              <a:latin typeface="Arial"/>
            </a:rPr>
            <a:t>F</a:t>
          </a:r>
          <a:r>
            <a:rPr lang="de-DE" sz="1100" strike="noStrike" baseline="-25000">
              <a:solidFill>
                <a:srgbClr val="000000"/>
              </a:solidFill>
              <a:latin typeface="Arial"/>
            </a:rPr>
            <a:t>REFIN</a:t>
          </a:r>
          <a:endParaRPr/>
        </a:p>
      </xdr:txBody>
    </xdr:sp>
    <xdr:clientData/>
  </xdr:twoCellAnchor>
  <xdr:twoCellAnchor editAs="oneCell">
    <xdr:from>
      <xdr:col>14</xdr:col>
      <xdr:colOff>659520</xdr:colOff>
      <xdr:row>69</xdr:row>
      <xdr:rowOff>29160</xdr:rowOff>
    </xdr:from>
    <xdr:to>
      <xdr:col>15</xdr:col>
      <xdr:colOff>225000</xdr:colOff>
      <xdr:row>70</xdr:row>
      <xdr:rowOff>43920</xdr:rowOff>
    </xdr:to>
    <xdr:sp>
      <xdr:nvSpPr>
        <xdr:cNvPr id="435" name="CustomShape 1"/>
        <xdr:cNvSpPr/>
      </xdr:nvSpPr>
      <xdr:spPr>
        <a:xfrm flipH="1" flipV="1">
          <a:off x="8590320" y="12335400"/>
          <a:ext cx="247680" cy="190080"/>
        </a:xfrm>
        <a:prstGeom prst="straightConnector1">
          <a:avLst/>
        </a:prstGeom>
        <a:noFill/>
        <a:ln w="25560">
          <a:solidFill>
            <a:schemeClr val="tx1"/>
          </a:solidFill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106920</xdr:colOff>
      <xdr:row>45</xdr:row>
      <xdr:rowOff>141480</xdr:rowOff>
    </xdr:from>
    <xdr:to>
      <xdr:col>5</xdr:col>
      <xdr:colOff>251280</xdr:colOff>
      <xdr:row>46</xdr:row>
      <xdr:rowOff>118080</xdr:rowOff>
    </xdr:to>
    <xdr:sp>
      <xdr:nvSpPr>
        <xdr:cNvPr id="436" name="CustomShape 1"/>
        <xdr:cNvSpPr/>
      </xdr:nvSpPr>
      <xdr:spPr>
        <a:xfrm>
          <a:off x="2113200" y="8218440"/>
          <a:ext cx="144360" cy="151920"/>
        </a:xfrm>
        <a:prstGeom prst="rect">
          <a:avLst/>
        </a:prstGeom>
        <a:solidFill>
          <a:schemeClr val="bg1"/>
        </a:solidFill>
        <a:ln w="22320"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5</xdr:col>
      <xdr:colOff>101160</xdr:colOff>
      <xdr:row>45</xdr:row>
      <xdr:rowOff>135720</xdr:rowOff>
    </xdr:from>
    <xdr:to>
      <xdr:col>5</xdr:col>
      <xdr:colOff>249840</xdr:colOff>
      <xdr:row>46</xdr:row>
      <xdr:rowOff>120240</xdr:rowOff>
    </xdr:to>
    <xdr:sp>
      <xdr:nvSpPr>
        <xdr:cNvPr id="437" name="Line 1"/>
        <xdr:cNvSpPr/>
      </xdr:nvSpPr>
      <xdr:spPr>
        <a:xfrm flipV="1">
          <a:off x="2107440" y="8212680"/>
          <a:ext cx="148680" cy="15984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  <xdr:twoCellAnchor editAs="absolute">
    <xdr:from>
      <xdr:col>5</xdr:col>
      <xdr:colOff>106920</xdr:colOff>
      <xdr:row>45</xdr:row>
      <xdr:rowOff>145080</xdr:rowOff>
    </xdr:from>
    <xdr:to>
      <xdr:col>5</xdr:col>
      <xdr:colOff>257400</xdr:colOff>
      <xdr:row>46</xdr:row>
      <xdr:rowOff>118440</xdr:rowOff>
    </xdr:to>
    <xdr:sp>
      <xdr:nvSpPr>
        <xdr:cNvPr id="438" name="Line 1"/>
        <xdr:cNvSpPr/>
      </xdr:nvSpPr>
      <xdr:spPr>
        <a:xfrm flipH="1" flipV="1">
          <a:off x="2113200" y="8222040"/>
          <a:ext cx="150480" cy="148680"/>
        </a:xfrm>
        <a:prstGeom prst="line">
          <a:avLst/>
        </a:prstGeom>
        <a:ln w="12600">
          <a:solidFill>
            <a:schemeClr val="tx1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0</xdr:row>
      <xdr:rowOff>0</xdr:rowOff>
    </xdr:from>
    <xdr:to>
      <xdr:col>14</xdr:col>
      <xdr:colOff>87480</xdr:colOff>
      <xdr:row>63</xdr:row>
      <xdr:rowOff>42120</xdr:rowOff>
    </xdr:to>
    <xdr:pic>
      <xdr:nvPicPr>
        <xdr:cNvPr id="439" name="Picture 1" descr=""/>
        <xdr:cNvPicPr/>
      </xdr:nvPicPr>
      <xdr:blipFill>
        <a:blip r:embed="rId1"/>
        <a:stretch/>
      </xdr:blipFill>
      <xdr:spPr>
        <a:xfrm>
          <a:off x="27000" y="0"/>
          <a:ext cx="8630280" cy="1156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119880</xdr:colOff>
      <xdr:row>0</xdr:row>
      <xdr:rowOff>97560</xdr:rowOff>
    </xdr:from>
    <xdr:to>
      <xdr:col>2</xdr:col>
      <xdr:colOff>607680</xdr:colOff>
      <xdr:row>6</xdr:row>
      <xdr:rowOff>144720</xdr:rowOff>
    </xdr:to>
    <xdr:sp>
      <xdr:nvSpPr>
        <xdr:cNvPr id="440" name="CustomShape 1"/>
        <xdr:cNvSpPr/>
      </xdr:nvSpPr>
      <xdr:spPr>
        <a:xfrm>
          <a:off x="119880" y="97560"/>
          <a:ext cx="1711800" cy="1144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3200" strike="noStrike">
              <a:solidFill>
                <a:srgbClr val="000000"/>
              </a:solidFill>
              <a:latin typeface="Calibri"/>
            </a:rPr>
            <a:t>PIC32MX</a:t>
          </a:r>
          <a:endParaRPr/>
        </a:p>
        <a:p>
          <a:r>
            <a:rPr b="1" lang="de-DE" strike="noStrike">
              <a:solidFill>
                <a:srgbClr val="000000"/>
              </a:solidFill>
              <a:latin typeface="Calibri"/>
            </a:rPr>
            <a:t>Oscillator</a:t>
          </a:r>
          <a:endParaRPr/>
        </a:p>
        <a:p>
          <a:r>
            <a:rPr b="1" lang="de-DE" strike="noStrike">
              <a:solidFill>
                <a:srgbClr val="000000"/>
              </a:solidFill>
              <a:latin typeface="Calibri"/>
            </a:rPr>
            <a:t>Block Diagram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0</xdr:row>
      <xdr:rowOff>0</xdr:rowOff>
    </xdr:from>
    <xdr:to>
      <xdr:col>14</xdr:col>
      <xdr:colOff>118080</xdr:colOff>
      <xdr:row>64</xdr:row>
      <xdr:rowOff>108000</xdr:rowOff>
    </xdr:to>
    <xdr:pic>
      <xdr:nvPicPr>
        <xdr:cNvPr id="441" name="Picture 1" descr=""/>
        <xdr:cNvPicPr/>
      </xdr:nvPicPr>
      <xdr:blipFill>
        <a:blip r:embed="rId1"/>
        <a:stretch/>
      </xdr:blipFill>
      <xdr:spPr>
        <a:xfrm>
          <a:off x="27000" y="0"/>
          <a:ext cx="8660880" cy="1181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1</xdr:row>
      <xdr:rowOff>128160</xdr:rowOff>
    </xdr:from>
    <xdr:to>
      <xdr:col>9</xdr:col>
      <xdr:colOff>598320</xdr:colOff>
      <xdr:row>36</xdr:row>
      <xdr:rowOff>173520</xdr:rowOff>
    </xdr:to>
    <xdr:pic>
      <xdr:nvPicPr>
        <xdr:cNvPr id="442" name="Picture 1" descr=""/>
        <xdr:cNvPicPr/>
      </xdr:nvPicPr>
      <xdr:blipFill>
        <a:blip r:embed="rId1"/>
        <a:stretch/>
      </xdr:blipFill>
      <xdr:spPr>
        <a:xfrm>
          <a:off x="27000" y="311040"/>
          <a:ext cx="6080400" cy="6446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78480</xdr:colOff>
      <xdr:row>0</xdr:row>
      <xdr:rowOff>6120</xdr:rowOff>
    </xdr:from>
    <xdr:to>
      <xdr:col>1</xdr:col>
      <xdr:colOff>586440</xdr:colOff>
      <xdr:row>2</xdr:row>
      <xdr:rowOff>41040</xdr:rowOff>
    </xdr:to>
    <xdr:sp>
      <xdr:nvSpPr>
        <xdr:cNvPr id="443" name="CustomShape 1"/>
        <xdr:cNvSpPr/>
      </xdr:nvSpPr>
      <xdr:spPr>
        <a:xfrm>
          <a:off x="78480" y="6120"/>
          <a:ext cx="1119960" cy="400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r>
            <a:rPr b="1" lang="de-DE" sz="2000" strike="noStrike">
              <a:solidFill>
                <a:srgbClr val="000000"/>
              </a:solidFill>
              <a:latin typeface="Calibri"/>
            </a:rPr>
            <a:t>PIC32MZ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B311"/>
  <sheetViews>
    <sheetView windowProtection="false"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X75" activeCellId="0" sqref="X75"/>
    </sheetView>
  </sheetViews>
  <sheetFormatPr defaultRowHeight="13.8"/>
  <cols>
    <col collapsed="false" hidden="false" max="1" min="1" style="1" width="4.66326530612245"/>
    <col collapsed="false" hidden="false" max="2" min="2" style="1" width="4.78061224489796"/>
    <col collapsed="false" hidden="false" max="3" min="3" style="1" width="4.88775510204082"/>
    <col collapsed="false" hidden="false" max="4" min="4" style="1" width="8.33163265306122"/>
    <col collapsed="false" hidden="false" max="5" min="5" style="1" width="5.77551020408163"/>
    <col collapsed="false" hidden="false" max="6" min="6" style="1" width="8.55612244897959"/>
    <col collapsed="false" hidden="false" max="7" min="7" style="1" width="8.77551020408163"/>
    <col collapsed="false" hidden="false" max="9" min="8" style="1" width="10.7704081632653"/>
    <col collapsed="false" hidden="false" max="10" min="10" style="1" width="9.21428571428571"/>
    <col collapsed="false" hidden="false" max="11" min="11" style="1" width="10.7704081632653"/>
    <col collapsed="false" hidden="false" max="12" min="12" style="1" width="6.88265306122449"/>
    <col collapsed="false" hidden="false" max="13" min="13" style="1" width="7.44387755102041"/>
    <col collapsed="false" hidden="false" max="14" min="14" style="1" width="10.7704081632653"/>
    <col collapsed="false" hidden="false" max="15" min="15" style="1" width="9.66326530612245"/>
    <col collapsed="false" hidden="false" max="16" min="16" style="1" width="5.77551020408163"/>
    <col collapsed="false" hidden="false" max="17" min="17" style="1" width="10.7704081632653"/>
    <col collapsed="false" hidden="false" max="18" min="18" style="1" width="8.10714285714286"/>
    <col collapsed="false" hidden="false" max="19" min="19" style="1" width="5.77551020408163"/>
    <col collapsed="false" hidden="false" max="20" min="20" style="1" width="7.21938775510204"/>
    <col collapsed="false" hidden="false" max="22" min="21" style="1" width="6.77551020408163"/>
    <col collapsed="false" hidden="false" max="1025" min="23" style="1" width="8.89285714285714"/>
  </cols>
  <sheetData>
    <row r="1" customFormat="false" ht="13.8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AB1" s="0"/>
    </row>
    <row r="2" customFormat="false" ht="28.2" hidden="false" customHeight="false" outlineLevel="0" collapsed="false">
      <c r="B2" s="0"/>
      <c r="C2" s="0"/>
      <c r="D2" s="0"/>
      <c r="E2" s="0"/>
      <c r="F2" s="0"/>
      <c r="G2" s="2" t="s">
        <v>0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AB2" s="0"/>
    </row>
    <row r="3" customFormat="false" ht="13.8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AB3" s="0"/>
    </row>
    <row r="4" customFormat="false" ht="13.8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AB4" s="0"/>
    </row>
    <row r="5" customFormat="false" ht="13.8" hidden="false" customHeight="false" outlineLevel="0" collapsed="false"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AB5" s="0"/>
    </row>
    <row r="6" customFormat="false" ht="13.8" hidden="false" customHeight="false" outlineLevel="0" collapsed="false">
      <c r="B6" s="0"/>
      <c r="C6" s="0"/>
      <c r="D6" s="0"/>
      <c r="E6" s="1" t="s">
        <v>1</v>
      </c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AB6" s="0"/>
    </row>
    <row r="7" customFormat="false" ht="13.8" hidden="false" customHeight="false" outlineLevel="0" collapsed="false"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AB7" s="0"/>
    </row>
    <row r="8" customFormat="false" ht="13.8" hidden="false" customHeight="false" outlineLevel="0" collapsed="false"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AB8" s="0"/>
    </row>
    <row r="9" customFormat="false" ht="13.8" hidden="false" customHeight="false" outlineLevel="0" collapsed="false">
      <c r="B9" s="0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3" t="s">
        <v>2</v>
      </c>
      <c r="Q9" s="0"/>
      <c r="R9" s="0"/>
      <c r="S9" s="0"/>
      <c r="T9" s="0"/>
      <c r="U9" s="0"/>
      <c r="V9" s="0"/>
      <c r="W9" s="0"/>
      <c r="X9" s="0"/>
      <c r="AB9" s="0"/>
    </row>
    <row r="10" customFormat="false" ht="13.8" hidden="false" customHeight="false" outlineLevel="0" collapsed="false">
      <c r="B10" s="0"/>
      <c r="C10" s="0"/>
      <c r="D10" s="0"/>
      <c r="E10" s="0"/>
      <c r="F10" s="0"/>
      <c r="G10" s="0"/>
      <c r="H10" s="4" t="s">
        <v>3</v>
      </c>
      <c r="I10" s="5" t="s">
        <v>4</v>
      </c>
      <c r="J10" s="5"/>
      <c r="K10" s="0"/>
      <c r="L10" s="0"/>
      <c r="M10" s="0"/>
      <c r="N10" s="0"/>
      <c r="O10" s="0"/>
      <c r="P10" s="3" t="s">
        <v>5</v>
      </c>
      <c r="Q10" s="0"/>
      <c r="R10" s="0"/>
      <c r="S10" s="0"/>
      <c r="T10" s="0"/>
      <c r="U10" s="0"/>
      <c r="V10" s="0"/>
      <c r="W10" s="0"/>
      <c r="X10" s="0"/>
      <c r="AB10" s="0"/>
    </row>
    <row r="11" customFormat="false" ht="13.8" hidden="false" customHeight="false" outlineLevel="0" collapsed="false">
      <c r="B11" s="0"/>
      <c r="C11" s="0"/>
      <c r="D11" s="0"/>
      <c r="E11" s="0"/>
      <c r="F11" s="4" t="n">
        <v>8</v>
      </c>
      <c r="G11" s="1" t="s">
        <v>6</v>
      </c>
      <c r="H11" s="0"/>
      <c r="I11" s="0"/>
      <c r="J11" s="0"/>
      <c r="K11" s="0"/>
      <c r="L11" s="0"/>
      <c r="M11" s="0"/>
      <c r="N11" s="0"/>
      <c r="O11" s="0"/>
      <c r="P11" s="3" t="s">
        <v>7</v>
      </c>
      <c r="Q11" s="0"/>
      <c r="R11" s="0"/>
      <c r="S11" s="0"/>
      <c r="T11" s="0"/>
      <c r="U11" s="0"/>
      <c r="V11" s="0"/>
      <c r="W11" s="0"/>
      <c r="X11" s="0"/>
      <c r="AB11" s="0"/>
    </row>
    <row r="12" customFormat="false" ht="13.8" hidden="false" customHeight="false" outlineLevel="0" collapsed="false">
      <c r="B12" s="0"/>
      <c r="C12" s="0"/>
      <c r="D12" s="0"/>
      <c r="E12" s="0"/>
      <c r="F12" s="0"/>
      <c r="G12" s="0"/>
      <c r="H12" s="0"/>
      <c r="I12" s="0"/>
      <c r="J12" s="0"/>
      <c r="K12" s="4" t="n">
        <f aca="false">F11/R124</f>
        <v>4</v>
      </c>
      <c r="L12" s="1" t="s">
        <v>6</v>
      </c>
      <c r="M12" s="0"/>
      <c r="N12" s="0"/>
      <c r="O12" s="0"/>
      <c r="P12" s="3" t="s">
        <v>8</v>
      </c>
      <c r="Q12" s="0"/>
      <c r="R12" s="0"/>
      <c r="S12" s="0"/>
      <c r="T12" s="0"/>
      <c r="U12" s="0"/>
      <c r="V12" s="0"/>
      <c r="W12" s="0"/>
      <c r="X12" s="0"/>
      <c r="AB12" s="0"/>
    </row>
    <row r="13" customFormat="false" ht="13.8" hidden="false" customHeight="false" outlineLevel="0" collapsed="false">
      <c r="B13" s="0"/>
      <c r="C13" s="0"/>
      <c r="D13" s="0"/>
      <c r="E13" s="0"/>
      <c r="F13" s="0"/>
      <c r="G13" s="0"/>
      <c r="H13" s="6"/>
      <c r="I13" s="0"/>
      <c r="J13" s="0"/>
      <c r="K13" s="0"/>
      <c r="L13" s="7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AB13" s="0"/>
    </row>
    <row r="14" customFormat="false" ht="13.8" hidden="false" customHeight="false" outlineLevel="0" collapsed="false">
      <c r="B14" s="0"/>
      <c r="C14" s="0"/>
      <c r="D14" s="0"/>
      <c r="E14" s="0"/>
      <c r="F14" s="0"/>
      <c r="G14" s="0"/>
      <c r="H14" s="0"/>
      <c r="I14" s="0"/>
      <c r="J14" s="0"/>
      <c r="K14" s="8" t="n">
        <f aca="false">8/16</f>
        <v>0.5</v>
      </c>
      <c r="L14" s="9" t="s">
        <v>6</v>
      </c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AB14" s="0"/>
    </row>
    <row r="15" customFormat="false" ht="13.8" hidden="false" customHeight="false" outlineLevel="0" collapsed="false"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AB15" s="0"/>
    </row>
    <row r="16" customFormat="false" ht="13.8" hidden="false" customHeight="false" outlineLevel="0" collapsed="false"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AB16" s="0"/>
    </row>
    <row r="17" customFormat="false" ht="13.8" hidden="false" customHeight="false" outlineLevel="0" collapsed="false">
      <c r="B17" s="0"/>
      <c r="C17" s="0"/>
      <c r="D17" s="0"/>
      <c r="E17" s="0"/>
      <c r="F17" s="0"/>
      <c r="G17" s="0"/>
      <c r="H17" s="4" t="s">
        <v>9</v>
      </c>
      <c r="I17" s="10" t="str">
        <f aca="false">O56</f>
        <v>FRCPLL</v>
      </c>
      <c r="J17" s="0"/>
      <c r="K17" s="1" t="s">
        <v>10</v>
      </c>
      <c r="L17" s="11" t="s">
        <v>11</v>
      </c>
      <c r="M17" s="0"/>
      <c r="N17" s="4" t="s">
        <v>12</v>
      </c>
      <c r="O17" s="11" t="s">
        <v>13</v>
      </c>
      <c r="P17" s="0"/>
      <c r="Q17" s="4" t="s">
        <v>14</v>
      </c>
      <c r="R17" s="11" t="s">
        <v>11</v>
      </c>
      <c r="S17" s="0"/>
      <c r="T17" s="0"/>
      <c r="U17" s="0"/>
      <c r="V17" s="0"/>
      <c r="W17" s="0"/>
      <c r="X17" s="0"/>
      <c r="AB17" s="0"/>
    </row>
    <row r="18" customFormat="false" ht="13.8" hidden="false" customHeight="false" outlineLevel="0" collapsed="false"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AB18" s="0"/>
    </row>
    <row r="19" customFormat="false" ht="13.8" hidden="false" customHeight="false" outlineLevel="0" collapsed="false"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9" t="n">
        <f aca="false">P20/J123</f>
        <v>40</v>
      </c>
      <c r="V19" s="1" t="s">
        <v>6</v>
      </c>
      <c r="W19" s="0"/>
      <c r="X19" s="0"/>
      <c r="AB19" s="0"/>
    </row>
    <row r="20" customFormat="false" ht="14.15" hidden="false" customHeight="false" outlineLevel="0" collapsed="false">
      <c r="B20" s="0"/>
      <c r="C20" s="0"/>
      <c r="D20" s="0"/>
      <c r="E20" s="0"/>
      <c r="F20" s="0"/>
      <c r="G20" s="0"/>
      <c r="H20" s="0"/>
      <c r="I20" s="0"/>
      <c r="J20" s="12" t="n">
        <f aca="false">IF($I$17="FRCPLL", 8, IF($I$17="PRIPLL",$F$25,0))</f>
        <v>8</v>
      </c>
      <c r="K20" s="0"/>
      <c r="L20" s="0"/>
      <c r="M20" s="12" t="n">
        <f aca="false">J20/J102</f>
        <v>4</v>
      </c>
      <c r="N20" s="0"/>
      <c r="O20" s="0"/>
      <c r="P20" s="9" t="n">
        <f aca="false">M20*J113</f>
        <v>80</v>
      </c>
      <c r="Q20" s="0"/>
      <c r="R20" s="0"/>
      <c r="S20" s="0"/>
      <c r="T20" s="0"/>
      <c r="U20" s="0"/>
      <c r="V20" s="0"/>
      <c r="W20" s="0"/>
      <c r="X20" s="0"/>
      <c r="AB20" s="0"/>
    </row>
    <row r="21" customFormat="false" ht="13.8" hidden="false" customHeight="false" outlineLevel="0" collapsed="false"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AB21" s="0"/>
    </row>
    <row r="22" customFormat="false" ht="13.8" hidden="false" customHeight="false" outlineLevel="0" collapsed="false">
      <c r="B22" s="0"/>
      <c r="C22" s="0"/>
      <c r="D22" s="4" t="s">
        <v>15</v>
      </c>
      <c r="E22" s="13" t="n">
        <v>12</v>
      </c>
      <c r="F22" s="1" t="s">
        <v>6</v>
      </c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AB22" s="0"/>
    </row>
    <row r="23" customFormat="false" ht="13.8" hidden="false" customHeight="false" outlineLevel="0" collapsed="false">
      <c r="B23" s="0"/>
      <c r="C23" s="0"/>
      <c r="D23" s="4" t="s">
        <v>16</v>
      </c>
      <c r="E23" s="11" t="n">
        <v>10</v>
      </c>
      <c r="F23" s="1" t="s">
        <v>6</v>
      </c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AB23" s="0"/>
    </row>
    <row r="24" customFormat="false" ht="13.8" hidden="false" customHeight="false" outlineLevel="0" collapsed="false"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AB24" s="0"/>
    </row>
    <row r="25" customFormat="false" ht="13.8" hidden="false" customHeight="false" outlineLevel="0" collapsed="false">
      <c r="B25" s="0"/>
      <c r="C25" s="0"/>
      <c r="D25" s="0"/>
      <c r="E25" s="4" t="s">
        <v>17</v>
      </c>
      <c r="F25" s="14" t="n">
        <f aca="false">K92</f>
        <v>12</v>
      </c>
      <c r="G25" s="1" t="str">
        <f aca="false">F23</f>
        <v>MHz</v>
      </c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AB25" s="0"/>
    </row>
    <row r="26" customFormat="false" ht="13.8" hidden="false" customHeight="false" outlineLevel="0" collapsed="false">
      <c r="B26" s="0"/>
      <c r="C26" s="0"/>
      <c r="D26" s="0"/>
      <c r="E26" s="4" t="s">
        <v>18</v>
      </c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AB26" s="0"/>
    </row>
    <row r="27" customFormat="false" ht="13.8" hidden="false" customHeight="false" outlineLevel="0" collapsed="false"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15"/>
      <c r="S27" s="16"/>
      <c r="T27" s="10"/>
      <c r="U27" s="0"/>
      <c r="V27" s="0"/>
      <c r="W27" s="0"/>
      <c r="X27" s="0"/>
      <c r="AB27" s="0"/>
    </row>
    <row r="28" customFormat="false" ht="13.8" hidden="false" customHeight="false" outlineLevel="0" collapsed="false">
      <c r="B28" s="0"/>
      <c r="C28" s="0"/>
      <c r="D28" s="0"/>
      <c r="E28" s="0"/>
      <c r="F28" s="0"/>
      <c r="G28" s="0"/>
      <c r="H28" s="0"/>
      <c r="I28" s="0"/>
      <c r="J28" s="0"/>
      <c r="K28" s="4" t="n">
        <v>8</v>
      </c>
      <c r="L28" s="4"/>
      <c r="M28" s="16"/>
      <c r="N28" s="16"/>
      <c r="O28" s="0"/>
      <c r="P28" s="0"/>
      <c r="Q28" s="0"/>
      <c r="R28" s="10"/>
      <c r="S28" s="10"/>
      <c r="T28" s="10"/>
      <c r="U28" s="0"/>
      <c r="V28" s="0"/>
      <c r="W28" s="0"/>
      <c r="X28" s="0"/>
      <c r="AB28" s="0"/>
    </row>
    <row r="29" customFormat="false" ht="13.8" hidden="false" customHeight="false" outlineLevel="0" collapsed="false"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10"/>
      <c r="S29" s="10"/>
      <c r="T29" s="0"/>
      <c r="U29" s="0"/>
      <c r="V29" s="0"/>
      <c r="W29" s="0"/>
      <c r="X29" s="0"/>
      <c r="AB29" s="0"/>
    </row>
    <row r="30" customFormat="false" ht="13.8" hidden="false" customHeight="false" outlineLevel="0" collapsed="false">
      <c r="B30" s="0"/>
      <c r="C30" s="0"/>
      <c r="D30" s="0"/>
      <c r="E30" s="4" t="s">
        <v>19</v>
      </c>
      <c r="F30" s="0"/>
      <c r="G30" s="0"/>
      <c r="H30" s="4" t="s">
        <v>20</v>
      </c>
      <c r="I30" s="17" t="s">
        <v>21</v>
      </c>
      <c r="J30" s="0"/>
      <c r="K30" s="0"/>
      <c r="L30" s="0"/>
      <c r="M30" s="0"/>
      <c r="N30" s="0"/>
      <c r="O30" s="0"/>
      <c r="P30" s="0"/>
      <c r="Q30" s="0"/>
      <c r="R30" s="15"/>
      <c r="S30" s="16"/>
      <c r="T30" s="10"/>
      <c r="U30" s="0"/>
      <c r="V30" s="0"/>
      <c r="W30" s="0"/>
      <c r="X30" s="0"/>
      <c r="AB30" s="0"/>
    </row>
    <row r="31" customFormat="false" ht="13.8" hidden="false" customHeight="false" outlineLevel="0" collapsed="false">
      <c r="B31" s="0"/>
      <c r="C31" s="0"/>
      <c r="D31" s="0"/>
      <c r="E31" s="4" t="s">
        <v>22</v>
      </c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10"/>
      <c r="S31" s="10"/>
      <c r="T31" s="10"/>
      <c r="U31" s="0"/>
      <c r="V31" s="12" t="n">
        <f aca="false">IF($T$34=$O$152, $R$32, 8)</f>
        <v>48</v>
      </c>
      <c r="W31" s="1" t="s">
        <v>6</v>
      </c>
      <c r="X31" s="0"/>
      <c r="AB31" s="0"/>
    </row>
    <row r="32" customFormat="false" ht="13.8" hidden="false" customHeight="false" outlineLevel="0" collapsed="false">
      <c r="B32" s="0"/>
      <c r="C32" s="0"/>
      <c r="D32" s="0"/>
      <c r="E32" s="4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18" t="n">
        <f aca="false">IF($R$35="ON", $Q$33, $K$33)</f>
        <v>48</v>
      </c>
      <c r="S32" s="0"/>
      <c r="T32" s="0"/>
      <c r="U32" s="0"/>
      <c r="V32" s="0"/>
      <c r="W32" s="0"/>
      <c r="X32" s="0"/>
      <c r="AB32" s="0"/>
    </row>
    <row r="33" customFormat="false" ht="13.8" hidden="false" customHeight="false" outlineLevel="0" collapsed="false">
      <c r="B33" s="0"/>
      <c r="C33" s="0"/>
      <c r="D33" s="0"/>
      <c r="E33" s="4"/>
      <c r="F33" s="0"/>
      <c r="G33" s="0"/>
      <c r="H33" s="0"/>
      <c r="I33" s="19"/>
      <c r="J33" s="0"/>
      <c r="K33" s="1" t="n">
        <f aca="false">F25</f>
        <v>12</v>
      </c>
      <c r="L33" s="0"/>
      <c r="M33" s="1" t="n">
        <f aca="false">K33/J143</f>
        <v>4</v>
      </c>
      <c r="N33" s="0"/>
      <c r="O33" s="1" t="n">
        <f aca="false">M33*24</f>
        <v>96</v>
      </c>
      <c r="P33" s="0"/>
      <c r="Q33" s="20" t="n">
        <f aca="false">O33/2</f>
        <v>48</v>
      </c>
      <c r="R33" s="0"/>
      <c r="S33" s="16"/>
      <c r="T33" s="10"/>
      <c r="U33" s="0"/>
      <c r="V33" s="0"/>
      <c r="W33" s="0"/>
      <c r="X33" s="0"/>
      <c r="AB33" s="0"/>
    </row>
    <row r="34" customFormat="false" ht="13.8" hidden="false" customHeight="false" outlineLevel="0" collapsed="false">
      <c r="B34" s="0"/>
      <c r="C34" s="0"/>
      <c r="D34" s="0"/>
      <c r="E34" s="4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10"/>
      <c r="S34" s="4" t="s">
        <v>23</v>
      </c>
      <c r="T34" s="5" t="s">
        <v>24</v>
      </c>
      <c r="U34" s="5"/>
      <c r="V34" s="5"/>
      <c r="W34" s="5"/>
      <c r="X34" s="0"/>
      <c r="AB34" s="0"/>
    </row>
    <row r="35" customFormat="false" ht="13.8" hidden="false" customHeight="false" outlineLevel="0" collapsed="false">
      <c r="B35" s="0"/>
      <c r="C35" s="0"/>
      <c r="D35" s="0"/>
      <c r="E35" s="4"/>
      <c r="F35" s="4" t="s">
        <v>25</v>
      </c>
      <c r="G35" s="11" t="s">
        <v>26</v>
      </c>
      <c r="H35" s="0"/>
      <c r="I35" s="0"/>
      <c r="J35" s="0"/>
      <c r="K35" s="0"/>
      <c r="L35" s="4" t="s">
        <v>27</v>
      </c>
      <c r="M35" s="11" t="s">
        <v>28</v>
      </c>
      <c r="N35" s="0"/>
      <c r="O35" s="0"/>
      <c r="P35" s="0"/>
      <c r="Q35" s="4" t="s">
        <v>29</v>
      </c>
      <c r="R35" s="11" t="s">
        <v>26</v>
      </c>
      <c r="S35" s="10"/>
      <c r="T35" s="10"/>
      <c r="U35" s="0"/>
      <c r="V35" s="0"/>
      <c r="W35" s="0"/>
      <c r="X35" s="0"/>
      <c r="AB35" s="0"/>
    </row>
    <row r="36" customFormat="false" ht="13.8" hidden="false" customHeight="false" outlineLevel="0" collapsed="false">
      <c r="B36" s="0"/>
      <c r="C36" s="0"/>
      <c r="D36" s="0"/>
      <c r="E36" s="4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15"/>
      <c r="S36" s="16"/>
      <c r="T36" s="10"/>
      <c r="U36" s="0"/>
      <c r="V36" s="0"/>
      <c r="W36" s="0"/>
      <c r="X36" s="0"/>
      <c r="AB36" s="0"/>
    </row>
    <row r="37" customFormat="false" ht="13.8" hidden="false" customHeight="false" outlineLevel="0" collapsed="false">
      <c r="B37" s="0"/>
      <c r="C37" s="0"/>
      <c r="D37" s="0"/>
      <c r="E37" s="4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10"/>
      <c r="S37" s="10"/>
      <c r="T37" s="10"/>
      <c r="U37" s="0"/>
      <c r="V37" s="0"/>
      <c r="W37" s="0"/>
      <c r="X37" s="0"/>
      <c r="AB37" s="0"/>
    </row>
    <row r="38" customFormat="false" ht="13.8" hidden="false" customHeight="false" outlineLevel="0" collapsed="false">
      <c r="B38" s="0"/>
      <c r="C38" s="0"/>
      <c r="D38" s="0"/>
      <c r="E38" s="4"/>
      <c r="F38" s="0"/>
      <c r="G38" s="6"/>
      <c r="H38" s="0"/>
      <c r="I38" s="0"/>
      <c r="J38" s="0"/>
      <c r="K38" s="0"/>
      <c r="L38" s="0"/>
      <c r="M38" s="0"/>
      <c r="N38" s="0"/>
      <c r="O38" s="0"/>
      <c r="P38" s="0"/>
      <c r="Q38" s="0"/>
      <c r="R38" s="10"/>
      <c r="S38" s="10"/>
      <c r="T38" s="10"/>
      <c r="U38" s="0"/>
      <c r="V38" s="0"/>
      <c r="W38" s="0"/>
      <c r="X38" s="0"/>
      <c r="AB38" s="0"/>
    </row>
    <row r="39" customFormat="false" ht="13.8" hidden="false" customHeight="false" outlineLevel="0" collapsed="false">
      <c r="B39" s="0"/>
      <c r="C39" s="0"/>
      <c r="D39" s="0"/>
      <c r="E39" s="4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15"/>
      <c r="S39" s="16"/>
      <c r="T39" s="10"/>
      <c r="U39" s="0"/>
      <c r="V39" s="0"/>
      <c r="W39" s="0"/>
      <c r="X39" s="0"/>
      <c r="AB39" s="0"/>
    </row>
    <row r="40" customFormat="false" ht="13.8" hidden="false" customHeight="false" outlineLevel="0" collapsed="false">
      <c r="B40" s="0"/>
      <c r="C40" s="0"/>
      <c r="D40" s="0"/>
      <c r="E40" s="4"/>
      <c r="F40" s="0"/>
      <c r="G40" s="0"/>
      <c r="H40" s="0"/>
      <c r="I40" s="0"/>
      <c r="J40" s="0"/>
      <c r="K40" s="0"/>
      <c r="L40" s="0"/>
      <c r="M40" s="1" t="n">
        <f aca="false">U19</f>
        <v>40</v>
      </c>
      <c r="N40" s="1" t="s">
        <v>6</v>
      </c>
      <c r="O40" s="0"/>
      <c r="P40" s="0"/>
      <c r="Q40" s="0"/>
      <c r="R40" s="10"/>
      <c r="S40" s="10"/>
      <c r="T40" s="10"/>
      <c r="U40" s="0"/>
      <c r="V40" s="0"/>
      <c r="W40" s="0"/>
      <c r="X40" s="0"/>
      <c r="AB40" s="0"/>
    </row>
    <row r="41" customFormat="false" ht="13.8" hidden="false" customHeight="false" outlineLevel="0" collapsed="false"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10"/>
      <c r="S41" s="10"/>
      <c r="T41" s="10"/>
      <c r="U41" s="0"/>
      <c r="V41" s="0"/>
      <c r="W41" s="0"/>
      <c r="X41" s="0"/>
      <c r="AB41" s="0"/>
    </row>
    <row r="42" customFormat="false" ht="13.8" hidden="false" customHeight="false" outlineLevel="0" collapsed="false">
      <c r="B42" s="0"/>
      <c r="C42" s="0"/>
      <c r="D42" s="0"/>
      <c r="E42" s="4"/>
      <c r="F42" s="0"/>
      <c r="G42" s="21" t="n">
        <v>31.25</v>
      </c>
      <c r="H42" s="6" t="s">
        <v>30</v>
      </c>
      <c r="I42" s="0"/>
      <c r="J42" s="0"/>
      <c r="K42" s="0"/>
      <c r="L42" s="0"/>
      <c r="M42" s="1" t="n">
        <f aca="false">F25</f>
        <v>12</v>
      </c>
      <c r="N42" s="1" t="s">
        <v>6</v>
      </c>
      <c r="O42" s="0"/>
      <c r="P42" s="0"/>
      <c r="Q42" s="0"/>
      <c r="R42" s="15"/>
      <c r="S42" s="16"/>
      <c r="T42" s="10"/>
      <c r="U42" s="0"/>
      <c r="V42" s="0"/>
      <c r="W42" s="0"/>
      <c r="X42" s="0"/>
      <c r="AB42" s="0"/>
    </row>
    <row r="43" customFormat="false" ht="13.8" hidden="false" customHeight="false" outlineLevel="0" collapsed="false">
      <c r="B43" s="0"/>
      <c r="C43" s="0"/>
      <c r="D43" s="0"/>
      <c r="E43" s="4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10"/>
      <c r="S43" s="10"/>
      <c r="T43" s="10"/>
      <c r="U43" s="0"/>
      <c r="V43" s="0"/>
      <c r="W43" s="0"/>
      <c r="X43" s="0"/>
      <c r="AB43" s="0"/>
    </row>
    <row r="44" customFormat="false" ht="13.8" hidden="false" customHeight="false" outlineLevel="0" collapsed="false">
      <c r="B44" s="0"/>
      <c r="C44" s="0"/>
      <c r="D44" s="0"/>
      <c r="E44" s="4"/>
      <c r="F44" s="0"/>
      <c r="G44" s="0"/>
      <c r="H44" s="0"/>
      <c r="I44" s="0"/>
      <c r="J44" s="0"/>
      <c r="K44" s="0"/>
      <c r="L44" s="0"/>
      <c r="M44" s="1" t="n">
        <v>8</v>
      </c>
      <c r="N44" s="1" t="s">
        <v>6</v>
      </c>
      <c r="O44" s="0"/>
      <c r="P44" s="0"/>
      <c r="Q44" s="0"/>
      <c r="R44" s="0"/>
      <c r="S44" s="0"/>
      <c r="T44" s="0"/>
      <c r="U44" s="0"/>
      <c r="V44" s="0"/>
      <c r="W44" s="0"/>
      <c r="X44" s="0"/>
      <c r="AB44" s="0"/>
    </row>
    <row r="45" customFormat="false" ht="13.8" hidden="false" customHeight="false" outlineLevel="0" collapsed="false">
      <c r="B45" s="0"/>
      <c r="C45" s="0"/>
      <c r="D45" s="0"/>
      <c r="E45" s="4"/>
      <c r="F45" s="0"/>
      <c r="G45" s="0"/>
      <c r="H45" s="0"/>
      <c r="I45" s="0"/>
      <c r="J45" s="0"/>
      <c r="K45" s="0"/>
      <c r="L45" s="0"/>
      <c r="M45" s="0"/>
      <c r="N45" s="0"/>
      <c r="O45" s="0"/>
      <c r="P45" s="4" t="s">
        <v>31</v>
      </c>
      <c r="Q45" s="22" t="s">
        <v>11</v>
      </c>
      <c r="R45" s="0"/>
      <c r="S45" s="0"/>
      <c r="T45" s="0"/>
      <c r="U45" s="0"/>
      <c r="V45" s="0"/>
      <c r="W45" s="0"/>
      <c r="X45" s="0"/>
      <c r="AB45" s="0"/>
    </row>
    <row r="46" customFormat="false" ht="13.8" hidden="false" customHeight="false" outlineLevel="0" collapsed="false">
      <c r="B46" s="0"/>
      <c r="C46" s="0"/>
      <c r="D46" s="4" t="s">
        <v>16</v>
      </c>
      <c r="E46" s="11" t="n">
        <v>32.768</v>
      </c>
      <c r="F46" s="1" t="s">
        <v>30</v>
      </c>
      <c r="G46" s="1" t="n">
        <f aca="false">IF($I$51="ON", $E$46, 0)</f>
        <v>32.768</v>
      </c>
      <c r="H46" s="1" t="s">
        <v>30</v>
      </c>
      <c r="I46" s="0"/>
      <c r="J46" s="0"/>
      <c r="K46" s="0"/>
      <c r="L46" s="0"/>
      <c r="M46" s="8" t="n">
        <v>0.5</v>
      </c>
      <c r="N46" s="1" t="s">
        <v>6</v>
      </c>
      <c r="O46" s="0"/>
      <c r="P46" s="0"/>
      <c r="Q46" s="0"/>
      <c r="R46" s="0"/>
      <c r="S46" s="23" t="n">
        <f aca="false">$R$49/J158</f>
        <v>20</v>
      </c>
      <c r="T46" s="1" t="s">
        <v>6</v>
      </c>
      <c r="U46" s="0"/>
      <c r="V46" s="0"/>
      <c r="W46" s="0"/>
      <c r="X46" s="0"/>
      <c r="AB46" s="0"/>
    </row>
    <row r="47" customFormat="false" ht="13.8" hidden="false" customHeight="false" outlineLevel="0" collapsed="false">
      <c r="B47" s="0"/>
      <c r="C47" s="0"/>
      <c r="D47" s="0"/>
      <c r="E47" s="4" t="s">
        <v>32</v>
      </c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AB47" s="0"/>
    </row>
    <row r="48" customFormat="false" ht="13.8" hidden="false" customHeight="false" outlineLevel="0" collapsed="false">
      <c r="B48" s="0"/>
      <c r="C48" s="0"/>
      <c r="D48" s="0"/>
      <c r="E48" s="4"/>
      <c r="F48" s="0"/>
      <c r="G48" s="0"/>
      <c r="H48" s="0"/>
      <c r="I48" s="0"/>
      <c r="J48" s="0"/>
      <c r="K48" s="0"/>
      <c r="L48" s="0"/>
      <c r="M48" s="1" t="n">
        <f aca="false">K12</f>
        <v>4</v>
      </c>
      <c r="N48" s="1" t="s">
        <v>6</v>
      </c>
      <c r="O48" s="0"/>
      <c r="P48" s="0"/>
      <c r="Q48" s="0"/>
      <c r="R48" s="0"/>
      <c r="S48" s="0"/>
      <c r="T48" s="0"/>
      <c r="U48" s="0"/>
      <c r="V48" s="0"/>
      <c r="W48" s="0"/>
      <c r="X48" s="0"/>
      <c r="AB48" s="0"/>
    </row>
    <row r="49" customFormat="false" ht="13.8" hidden="false" customHeight="false" outlineLevel="0" collapsed="false">
      <c r="B49" s="0"/>
      <c r="C49" s="0"/>
      <c r="D49" s="0"/>
      <c r="E49" s="4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1" t="n">
        <f aca="false">K133</f>
        <v>40</v>
      </c>
      <c r="S49" s="1" t="s">
        <v>6</v>
      </c>
      <c r="T49" s="0"/>
      <c r="U49" s="0"/>
      <c r="V49" s="0"/>
      <c r="W49" s="0"/>
      <c r="X49" s="0"/>
      <c r="AB49" s="0"/>
    </row>
    <row r="50" customFormat="false" ht="13.8" hidden="false" customHeight="false" outlineLevel="0" collapsed="false">
      <c r="B50" s="0"/>
      <c r="C50" s="0"/>
      <c r="D50" s="0"/>
      <c r="E50" s="4"/>
      <c r="F50" s="0"/>
      <c r="G50" s="0"/>
      <c r="H50" s="0"/>
      <c r="I50" s="0"/>
      <c r="J50" s="0"/>
      <c r="K50" s="0"/>
      <c r="L50" s="0"/>
      <c r="M50" s="19" t="n">
        <f aca="false">G42</f>
        <v>31.25</v>
      </c>
      <c r="N50" s="1" t="s">
        <v>30</v>
      </c>
      <c r="O50" s="0"/>
      <c r="P50" s="0"/>
      <c r="Q50" s="0"/>
      <c r="R50" s="0"/>
      <c r="S50" s="0"/>
      <c r="T50" s="0"/>
      <c r="U50" s="0"/>
      <c r="V50" s="0"/>
      <c r="W50" s="0"/>
      <c r="X50" s="0"/>
      <c r="AB50" s="0"/>
    </row>
    <row r="51" customFormat="false" ht="13.8" hidden="false" customHeight="false" outlineLevel="0" collapsed="false">
      <c r="B51" s="0"/>
      <c r="C51" s="0"/>
      <c r="D51" s="0"/>
      <c r="E51" s="0"/>
      <c r="F51" s="0"/>
      <c r="G51" s="0"/>
      <c r="H51" s="4" t="s">
        <v>33</v>
      </c>
      <c r="I51" s="11" t="s">
        <v>26</v>
      </c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AB51" s="0"/>
    </row>
    <row r="52" customFormat="false" ht="13.8" hidden="false" customHeight="false" outlineLevel="0" collapsed="false">
      <c r="B52" s="0"/>
      <c r="C52" s="0"/>
      <c r="D52" s="0"/>
      <c r="E52" s="4" t="s">
        <v>34</v>
      </c>
      <c r="F52" s="0"/>
      <c r="G52" s="0"/>
      <c r="H52" s="0"/>
      <c r="I52" s="0"/>
      <c r="J52" s="0"/>
      <c r="K52" s="0"/>
      <c r="L52" s="0"/>
      <c r="M52" s="24" t="n">
        <f aca="false">$G$46</f>
        <v>32.768</v>
      </c>
      <c r="N52" s="1" t="s">
        <v>30</v>
      </c>
      <c r="O52" s="0"/>
      <c r="P52" s="0"/>
      <c r="Q52" s="0"/>
      <c r="R52" s="0"/>
      <c r="S52" s="0"/>
      <c r="T52" s="0"/>
      <c r="U52" s="0"/>
      <c r="V52" s="0"/>
      <c r="W52" s="0"/>
      <c r="X52" s="0"/>
      <c r="AB52" s="0"/>
    </row>
    <row r="53" customFormat="false" ht="13.8" hidden="false" customHeight="false" outlineLevel="0" collapsed="false">
      <c r="B53" s="0"/>
      <c r="C53" s="0"/>
      <c r="D53" s="0"/>
      <c r="E53" s="4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AB53" s="0"/>
    </row>
    <row r="54" customFormat="false" ht="13.8" hidden="false" customHeight="false" outlineLevel="0" collapsed="false"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AB54" s="0"/>
    </row>
    <row r="55" customFormat="false" ht="13.8" hidden="false" customHeight="false" outlineLevel="0" collapsed="false">
      <c r="B55" s="0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9"/>
      <c r="T55" s="0"/>
      <c r="U55" s="12"/>
      <c r="V55" s="0"/>
      <c r="W55" s="0"/>
      <c r="X55" s="0"/>
      <c r="AB55" s="0"/>
    </row>
    <row r="56" customFormat="false" ht="15.6" hidden="false" customHeight="false" outlineLevel="0" collapsed="false">
      <c r="B56" s="0"/>
      <c r="C56" s="0"/>
      <c r="D56" s="0"/>
      <c r="E56" s="0"/>
      <c r="F56" s="0"/>
      <c r="G56" s="0"/>
      <c r="H56" s="25"/>
      <c r="I56" s="0"/>
      <c r="J56" s="0"/>
      <c r="K56" s="0"/>
      <c r="L56" s="0"/>
      <c r="M56" s="0"/>
      <c r="N56" s="4" t="s">
        <v>35</v>
      </c>
      <c r="O56" s="11" t="s">
        <v>36</v>
      </c>
      <c r="P56" s="0"/>
      <c r="Q56" s="0"/>
      <c r="R56" s="0"/>
      <c r="S56" s="0"/>
      <c r="T56" s="0"/>
      <c r="U56" s="9"/>
      <c r="V56" s="0"/>
      <c r="W56" s="0"/>
      <c r="X56" s="0"/>
      <c r="AB56" s="0"/>
    </row>
    <row r="57" customFormat="false" ht="13.8" hidden="false" customHeight="false" outlineLevel="0" collapsed="false">
      <c r="B57" s="0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9"/>
      <c r="V57" s="0"/>
      <c r="W57" s="0"/>
      <c r="X57" s="0"/>
      <c r="AB57" s="0"/>
    </row>
    <row r="58" customFormat="false" ht="13.8" hidden="false" customHeight="false" outlineLevel="0" collapsed="false">
      <c r="B58" s="0"/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AB58" s="0"/>
    </row>
    <row r="59" customFormat="false" ht="13.8" hidden="false" customHeight="false" outlineLevel="0" collapsed="false"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1" t="n">
        <v>8</v>
      </c>
      <c r="N59" s="1" t="s">
        <v>6</v>
      </c>
      <c r="O59" s="0"/>
      <c r="P59" s="0"/>
      <c r="Q59" s="0"/>
      <c r="R59" s="0"/>
      <c r="S59" s="0"/>
      <c r="T59" s="0"/>
      <c r="U59" s="0"/>
      <c r="V59" s="0"/>
      <c r="W59" s="0"/>
      <c r="X59" s="0"/>
      <c r="AB59" s="0"/>
    </row>
    <row r="60" customFormat="false" ht="13.8" hidden="false" customHeight="false" outlineLevel="0" collapsed="false">
      <c r="B60" s="0"/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AB60" s="12"/>
    </row>
    <row r="61" customFormat="false" ht="13.8" hidden="false" customHeight="false" outlineLevel="0" collapsed="false">
      <c r="B61" s="0"/>
      <c r="C61" s="0"/>
      <c r="D61" s="0"/>
      <c r="E61" s="0"/>
      <c r="F61" s="0"/>
      <c r="G61" s="4" t="s">
        <v>37</v>
      </c>
      <c r="H61" s="0"/>
      <c r="I61" s="0"/>
      <c r="J61" s="0"/>
      <c r="K61" s="0"/>
      <c r="L61" s="0"/>
      <c r="M61" s="1" t="n">
        <f aca="false">$P$20</f>
        <v>80</v>
      </c>
      <c r="N61" s="1" t="s">
        <v>6</v>
      </c>
      <c r="O61" s="0"/>
      <c r="P61" s="0"/>
      <c r="Q61" s="0"/>
      <c r="R61" s="0"/>
      <c r="S61" s="0"/>
      <c r="T61" s="4"/>
      <c r="U61" s="0"/>
      <c r="V61" s="0"/>
      <c r="W61" s="0"/>
      <c r="X61" s="0"/>
      <c r="AB61" s="12"/>
    </row>
    <row r="62" customFormat="false" ht="13.8" hidden="false" customHeight="false" outlineLevel="0" collapsed="false">
      <c r="B62" s="0"/>
      <c r="C62" s="0"/>
      <c r="D62" s="0"/>
      <c r="E62" s="0"/>
      <c r="F62" s="0"/>
      <c r="G62" s="4" t="s">
        <v>38</v>
      </c>
      <c r="H62" s="1" t="str">
        <f aca="false">O56</f>
        <v>FRCPLL</v>
      </c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AB62" s="12"/>
    </row>
    <row r="63" customFormat="false" ht="13.8" hidden="false" customHeight="false" outlineLevel="0" collapsed="false">
      <c r="B63" s="0"/>
      <c r="C63" s="0"/>
      <c r="D63" s="0"/>
      <c r="E63" s="0"/>
      <c r="F63" s="0"/>
      <c r="G63" s="4" t="s">
        <v>39</v>
      </c>
      <c r="H63" s="1" t="str">
        <f aca="false">I51</f>
        <v>ON</v>
      </c>
      <c r="I63" s="0"/>
      <c r="J63" s="0"/>
      <c r="K63" s="0"/>
      <c r="L63" s="0"/>
      <c r="M63" s="1" t="n">
        <f aca="false">$F$25</f>
        <v>12</v>
      </c>
      <c r="N63" s="1" t="s">
        <v>6</v>
      </c>
      <c r="O63" s="0"/>
      <c r="P63" s="0"/>
      <c r="Q63" s="0"/>
      <c r="R63" s="0"/>
      <c r="S63" s="0"/>
      <c r="T63" s="0"/>
      <c r="U63" s="0"/>
      <c r="V63" s="0"/>
      <c r="W63" s="0"/>
      <c r="X63" s="0"/>
      <c r="AB63" s="12"/>
    </row>
    <row r="64" customFormat="false" ht="13.8" hidden="false" customHeight="false" outlineLevel="0" collapsed="false">
      <c r="B64" s="0"/>
      <c r="C64" s="0"/>
      <c r="D64" s="0"/>
      <c r="E64" s="0"/>
      <c r="F64" s="0"/>
      <c r="G64" s="4" t="s">
        <v>40</v>
      </c>
      <c r="H64" s="1" t="str">
        <f aca="false">I30</f>
        <v>EC</v>
      </c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AB64" s="12"/>
    </row>
    <row r="65" customFormat="false" ht="13.8" hidden="false" customHeight="false" outlineLevel="0" collapsed="false">
      <c r="B65" s="0"/>
      <c r="C65" s="0"/>
      <c r="D65" s="0"/>
      <c r="E65" s="0"/>
      <c r="F65" s="0"/>
      <c r="G65" s="4" t="s">
        <v>41</v>
      </c>
      <c r="H65" s="1" t="str">
        <f aca="false">G35</f>
        <v>ON</v>
      </c>
      <c r="I65" s="0"/>
      <c r="J65" s="0"/>
      <c r="K65" s="0"/>
      <c r="L65" s="0"/>
      <c r="M65" s="23" t="n">
        <f aca="false">$O$33</f>
        <v>96</v>
      </c>
      <c r="N65" s="1" t="s">
        <v>30</v>
      </c>
      <c r="O65" s="0"/>
      <c r="P65" s="14" t="s">
        <v>42</v>
      </c>
      <c r="Q65" s="22" t="n">
        <v>176</v>
      </c>
      <c r="R65" s="0"/>
      <c r="S65" s="0"/>
      <c r="T65" s="0"/>
      <c r="U65" s="0"/>
      <c r="V65" s="0"/>
      <c r="W65" s="0"/>
      <c r="X65" s="0"/>
      <c r="AB65" s="12"/>
    </row>
    <row r="66" customFormat="false" ht="13.8" hidden="false" customHeight="false" outlineLevel="0" collapsed="false">
      <c r="B66" s="0"/>
      <c r="C66" s="0"/>
      <c r="D66" s="0"/>
      <c r="E66" s="0"/>
      <c r="F66" s="0"/>
      <c r="G66" s="4" t="s">
        <v>43</v>
      </c>
      <c r="H66" s="1" t="str">
        <f aca="false">$Q$45</f>
        <v>DIV_2</v>
      </c>
      <c r="I66" s="0"/>
      <c r="J66" s="0"/>
      <c r="K66" s="0"/>
      <c r="L66" s="0"/>
      <c r="M66" s="0"/>
      <c r="N66" s="0"/>
      <c r="O66" s="0"/>
      <c r="P66" s="14" t="s">
        <v>44</v>
      </c>
      <c r="Q66" s="22" t="n">
        <v>28</v>
      </c>
      <c r="R66" s="26"/>
      <c r="S66" s="0"/>
      <c r="T66" s="0"/>
      <c r="U66" s="0"/>
      <c r="V66" s="0"/>
      <c r="W66" s="0"/>
      <c r="X66" s="0"/>
      <c r="AB66" s="12"/>
    </row>
    <row r="67" customFormat="false" ht="13.8" hidden="false" customHeight="false" outlineLevel="0" collapsed="false">
      <c r="B67" s="0"/>
      <c r="C67" s="0"/>
      <c r="D67" s="0"/>
      <c r="E67" s="0"/>
      <c r="F67" s="0"/>
      <c r="G67" s="4"/>
      <c r="H67" s="0"/>
      <c r="I67" s="0"/>
      <c r="J67" s="0"/>
      <c r="K67" s="0"/>
      <c r="L67" s="0"/>
      <c r="M67" s="19" t="n">
        <f aca="false">$G$42</f>
        <v>31.25</v>
      </c>
      <c r="N67" s="1" t="s">
        <v>30</v>
      </c>
      <c r="O67" s="0"/>
      <c r="P67" s="0"/>
      <c r="Q67" s="0"/>
      <c r="R67" s="0"/>
      <c r="S67" s="0"/>
      <c r="T67" s="0"/>
      <c r="U67" s="0"/>
      <c r="V67" s="0"/>
      <c r="W67" s="0"/>
      <c r="X67" s="0"/>
      <c r="AB67" s="12"/>
    </row>
    <row r="68" customFormat="false" ht="14.15" hidden="false" customHeight="false" outlineLevel="0" collapsed="false">
      <c r="B68" s="0"/>
      <c r="C68" s="0"/>
      <c r="D68" s="0"/>
      <c r="E68" s="0"/>
      <c r="F68" s="0"/>
      <c r="G68" s="4" t="s">
        <v>45</v>
      </c>
      <c r="H68" s="0"/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27" t="n">
        <f aca="false">IF($Q$66=0, $O$69, ($O$69/(2*$T$220)))</f>
        <v>1.41124586549063</v>
      </c>
      <c r="X68" s="1" t="s">
        <v>6</v>
      </c>
      <c r="AB68" s="12"/>
    </row>
    <row r="69" customFormat="false" ht="13.8" hidden="false" customHeight="false" outlineLevel="0" collapsed="false">
      <c r="B69" s="0"/>
      <c r="C69" s="0"/>
      <c r="D69" s="0"/>
      <c r="E69" s="0"/>
      <c r="F69" s="0"/>
      <c r="G69" s="4" t="s">
        <v>46</v>
      </c>
      <c r="H69" s="1" t="str">
        <f aca="false">L17</f>
        <v>DIV_2</v>
      </c>
      <c r="I69" s="0"/>
      <c r="J69" s="0"/>
      <c r="K69" s="0"/>
      <c r="L69" s="0"/>
      <c r="M69" s="23" t="n">
        <f aca="false">$G$46</f>
        <v>32.768</v>
      </c>
      <c r="N69" s="1" t="s">
        <v>6</v>
      </c>
      <c r="O69" s="1" t="n">
        <f aca="false">$U$199</f>
        <v>80</v>
      </c>
      <c r="P69" s="0"/>
      <c r="Q69" s="24"/>
      <c r="R69" s="0"/>
      <c r="S69" s="0"/>
      <c r="T69" s="0"/>
      <c r="U69" s="0"/>
      <c r="V69" s="0"/>
      <c r="W69" s="0"/>
    </row>
    <row r="70" customFormat="false" ht="13.8" hidden="false" customHeight="false" outlineLevel="0" collapsed="false">
      <c r="B70" s="0"/>
      <c r="C70" s="0"/>
      <c r="D70" s="0"/>
      <c r="E70" s="0"/>
      <c r="F70" s="0"/>
      <c r="G70" s="4" t="s">
        <v>47</v>
      </c>
      <c r="H70" s="1" t="str">
        <f aca="false">O17</f>
        <v>MUL_20</v>
      </c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28" t="n">
        <f aca="false">0.0441*32</f>
        <v>1.4112</v>
      </c>
      <c r="X70" s="29" t="s">
        <v>48</v>
      </c>
    </row>
    <row r="71" customFormat="false" ht="13.8" hidden="false" customHeight="false" outlineLevel="0" collapsed="false">
      <c r="B71" s="0"/>
      <c r="C71" s="0"/>
      <c r="D71" s="0"/>
      <c r="E71" s="0"/>
      <c r="F71" s="0"/>
      <c r="G71" s="4" t="s">
        <v>49</v>
      </c>
      <c r="H71" s="1" t="str">
        <f aca="false">R17</f>
        <v>DIV_2</v>
      </c>
      <c r="I71" s="0"/>
      <c r="J71" s="0"/>
      <c r="K71" s="0"/>
      <c r="L71" s="0"/>
      <c r="M71" s="1" t="n">
        <f aca="false">$S$46</f>
        <v>20</v>
      </c>
      <c r="N71" s="1" t="s">
        <v>6</v>
      </c>
      <c r="O71" s="0"/>
      <c r="P71" s="0"/>
      <c r="Q71" s="0"/>
      <c r="R71" s="0"/>
      <c r="S71" s="0"/>
      <c r="T71" s="0"/>
      <c r="U71" s="0"/>
      <c r="V71" s="0"/>
      <c r="W71" s="28" t="n">
        <f aca="false">100-100*(W70/W68)</f>
        <v>0.0032499999999942</v>
      </c>
      <c r="X71" s="29" t="s">
        <v>50</v>
      </c>
    </row>
    <row r="72" customFormat="false" ht="13.8" hidden="false" customHeight="false" outlineLevel="0" collapsed="false">
      <c r="B72" s="0"/>
      <c r="C72" s="0"/>
      <c r="D72" s="0"/>
      <c r="E72" s="0"/>
      <c r="F72" s="0"/>
      <c r="G72" s="4" t="s">
        <v>51</v>
      </c>
      <c r="H72" s="1" t="str">
        <f aca="false">M35</f>
        <v>DIV_3</v>
      </c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</row>
    <row r="73" customFormat="false" ht="13.8" hidden="false" customHeight="false" outlineLevel="0" collapsed="false">
      <c r="B73" s="0"/>
      <c r="C73" s="0"/>
      <c r="D73" s="0"/>
      <c r="E73" s="0"/>
      <c r="F73" s="0"/>
      <c r="G73" s="4" t="s">
        <v>52</v>
      </c>
      <c r="H73" s="1" t="str">
        <f aca="false">R35</f>
        <v>ON</v>
      </c>
      <c r="I73" s="0"/>
      <c r="J73" s="0"/>
      <c r="K73" s="0"/>
      <c r="L73" s="0"/>
      <c r="M73" s="1" t="n">
        <f aca="false">$R$49</f>
        <v>40</v>
      </c>
      <c r="N73" s="1" t="s">
        <v>6</v>
      </c>
      <c r="O73" s="0"/>
      <c r="P73" s="0"/>
      <c r="Q73" s="0"/>
      <c r="R73" s="0"/>
      <c r="S73" s="0"/>
      <c r="T73" s="0"/>
      <c r="U73" s="0"/>
      <c r="V73" s="0"/>
      <c r="W73" s="0"/>
    </row>
    <row r="74" customFormat="false" ht="13.8" hidden="false" customHeight="false" outlineLevel="0" collapsed="false">
      <c r="B74" s="0"/>
      <c r="C74" s="0"/>
      <c r="D74" s="0"/>
      <c r="E74" s="4"/>
      <c r="F74" s="0"/>
      <c r="G74" s="0"/>
      <c r="H74" s="0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</row>
    <row r="75" customFormat="false" ht="13.8" hidden="false" customHeight="false" outlineLevel="0" collapsed="false">
      <c r="B75" s="0"/>
      <c r="C75" s="0"/>
      <c r="D75" s="0"/>
      <c r="E75" s="4"/>
      <c r="F75" s="0"/>
      <c r="G75" s="0"/>
      <c r="H75" s="0"/>
      <c r="I75" s="0"/>
      <c r="J75" s="0"/>
      <c r="K75" s="0"/>
      <c r="L75" s="0"/>
      <c r="M75" s="11" t="n">
        <v>2</v>
      </c>
      <c r="N75" s="1" t="s">
        <v>6</v>
      </c>
      <c r="O75" s="0"/>
      <c r="P75" s="0"/>
      <c r="Q75" s="0"/>
      <c r="R75" s="0"/>
      <c r="S75" s="0"/>
      <c r="T75" s="0"/>
      <c r="U75" s="0"/>
      <c r="V75" s="0"/>
      <c r="W75" s="0"/>
    </row>
    <row r="76" customFormat="false" ht="13.8" hidden="false" customHeight="false" outlineLevel="0" collapsed="false">
      <c r="B76" s="0"/>
      <c r="C76" s="0"/>
      <c r="D76" s="0"/>
      <c r="E76" s="4"/>
      <c r="F76" s="0"/>
      <c r="G76" s="0"/>
      <c r="H76" s="0"/>
      <c r="I76" s="0"/>
      <c r="J76" s="0"/>
      <c r="K76" s="0"/>
      <c r="L76" s="0"/>
      <c r="M76" s="24"/>
      <c r="N76" s="0"/>
      <c r="O76" s="0"/>
      <c r="P76" s="0"/>
      <c r="Q76" s="0"/>
      <c r="R76" s="0"/>
      <c r="S76" s="0"/>
      <c r="T76" s="0"/>
      <c r="U76" s="0"/>
      <c r="V76" s="0"/>
      <c r="W76" s="0"/>
    </row>
    <row r="77" customFormat="false" ht="13.8" hidden="false" customHeight="false" outlineLevel="0" collapsed="false">
      <c r="B77" s="0"/>
      <c r="C77" s="0"/>
      <c r="D77" s="0"/>
      <c r="E77" s="4"/>
      <c r="F77" s="0"/>
      <c r="G77" s="0"/>
      <c r="H77" s="0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</row>
    <row r="78" customFormat="false" ht="13.8" hidden="false" customHeight="false" outlineLevel="0" collapsed="false">
      <c r="B78" s="0"/>
      <c r="C78" s="0"/>
      <c r="D78" s="0"/>
      <c r="E78" s="4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</row>
    <row r="79" customFormat="false" ht="13.8" hidden="false" customHeight="false" outlineLevel="0" collapsed="false">
      <c r="B79" s="0"/>
      <c r="C79" s="0"/>
      <c r="D79" s="0"/>
      <c r="E79" s="4"/>
      <c r="F79" s="0"/>
      <c r="G79" s="0"/>
      <c r="H79" s="0"/>
      <c r="I79" s="0"/>
      <c r="J79" s="0"/>
      <c r="K79" s="0"/>
      <c r="L79" s="0"/>
      <c r="M79" s="0"/>
      <c r="N79" s="30" t="s">
        <v>53</v>
      </c>
      <c r="O79" s="22" t="s">
        <v>54</v>
      </c>
      <c r="P79" s="22"/>
      <c r="Q79" s="22"/>
      <c r="R79" s="22"/>
      <c r="S79" s="22"/>
      <c r="T79" s="0"/>
      <c r="U79" s="0"/>
      <c r="V79" s="0"/>
      <c r="W79" s="0"/>
    </row>
    <row r="80" customFormat="false" ht="13.8" hidden="false" customHeight="false" outlineLevel="0" collapsed="false">
      <c r="B80" s="0"/>
      <c r="C80" s="0"/>
      <c r="D80" s="0"/>
      <c r="E80" s="4"/>
      <c r="F80" s="0"/>
      <c r="G80" s="0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</row>
    <row r="81" customFormat="false" ht="13.8" hidden="false" customHeight="false" outlineLevel="0" collapsed="false">
      <c r="B81" s="0"/>
      <c r="C81" s="0"/>
      <c r="D81" s="0"/>
      <c r="E81" s="4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</row>
    <row r="82" customFormat="false" ht="13.8" hidden="false" customHeight="false" outlineLevel="0" collapsed="false">
      <c r="B82" s="0"/>
      <c r="C82" s="0"/>
      <c r="D82" s="0"/>
      <c r="E82" s="4"/>
      <c r="F82" s="0"/>
      <c r="G82" s="0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</row>
    <row r="83" customFormat="false" ht="13.8" hidden="false" customHeight="false" outlineLevel="0" collapsed="false">
      <c r="B83" s="0"/>
      <c r="C83" s="0"/>
      <c r="D83" s="0"/>
      <c r="E83" s="4"/>
      <c r="F83" s="0"/>
      <c r="G83" s="0"/>
      <c r="H83" s="0"/>
      <c r="I83" s="0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</row>
    <row r="84" customFormat="false" ht="14.4" hidden="false" customHeight="false" outlineLevel="0" collapsed="false">
      <c r="B84" s="12"/>
      <c r="C84" s="12"/>
      <c r="D84" s="12"/>
      <c r="E84" s="14"/>
      <c r="F84" s="12"/>
      <c r="G84" s="0"/>
      <c r="H84" s="0"/>
      <c r="I84" s="0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</row>
    <row r="85" customFormat="false" ht="13.8" hidden="false" customHeight="false" outlineLevel="0" collapsed="false">
      <c r="B85" s="12"/>
      <c r="C85" s="12"/>
      <c r="D85" s="12"/>
      <c r="E85" s="12"/>
      <c r="F85" s="12"/>
      <c r="G85" s="31"/>
      <c r="H85" s="32" t="s">
        <v>55</v>
      </c>
      <c r="I85" s="32"/>
      <c r="J85" s="32"/>
      <c r="K85" s="32"/>
      <c r="L85" s="33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</row>
    <row r="86" customFormat="false" ht="13.8" hidden="false" customHeight="false" outlineLevel="0" collapsed="false">
      <c r="B86" s="12"/>
      <c r="C86" s="12"/>
      <c r="D86" s="12"/>
      <c r="E86" s="12"/>
      <c r="F86" s="12"/>
      <c r="G86" s="34"/>
      <c r="H86" s="35"/>
      <c r="I86" s="35"/>
      <c r="J86" s="35"/>
      <c r="K86" s="35"/>
      <c r="L86" s="36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</row>
    <row r="87" customFormat="false" ht="14.4" hidden="false" customHeight="false" outlineLevel="0" collapsed="false">
      <c r="B87" s="12"/>
      <c r="C87" s="12"/>
      <c r="D87" s="12"/>
      <c r="E87" s="12"/>
      <c r="F87" s="12"/>
      <c r="G87" s="37"/>
      <c r="H87" s="38" t="s">
        <v>56</v>
      </c>
      <c r="I87" s="38" t="s">
        <v>57</v>
      </c>
      <c r="J87" s="38"/>
      <c r="K87" s="38"/>
      <c r="L87" s="39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</row>
    <row r="88" customFormat="false" ht="13.8" hidden="false" customHeight="false" outlineLevel="0" collapsed="false">
      <c r="B88" s="12"/>
      <c r="C88" s="12"/>
      <c r="D88" s="12"/>
      <c r="E88" s="12"/>
      <c r="F88" s="12"/>
      <c r="G88" s="31"/>
      <c r="H88" s="14" t="s">
        <v>20</v>
      </c>
      <c r="I88" s="12" t="s">
        <v>21</v>
      </c>
      <c r="J88" s="12" t="n">
        <f aca="false">IF($I$30="EC", 1, 0)</f>
        <v>1</v>
      </c>
      <c r="K88" s="12" t="n">
        <f aca="false">IF($I$30="EC", $E$22, 0)</f>
        <v>12</v>
      </c>
      <c r="L88" s="40"/>
      <c r="M88" s="0"/>
      <c r="N88" s="6" t="s">
        <v>58</v>
      </c>
      <c r="O88" s="0"/>
      <c r="P88" s="0"/>
      <c r="Q88" s="0"/>
      <c r="R88" s="0"/>
      <c r="S88" s="0"/>
      <c r="T88" s="0"/>
      <c r="U88" s="0"/>
      <c r="V88" s="0"/>
      <c r="W88" s="0"/>
    </row>
    <row r="89" customFormat="false" ht="13.8" hidden="false" customHeight="false" outlineLevel="0" collapsed="false">
      <c r="B89" s="12"/>
      <c r="C89" s="12"/>
      <c r="D89" s="12"/>
      <c r="E89" s="12"/>
      <c r="F89" s="12"/>
      <c r="G89" s="41"/>
      <c r="H89" s="14"/>
      <c r="I89" s="12" t="s">
        <v>59</v>
      </c>
      <c r="J89" s="12" t="n">
        <f aca="false">IF($I$30="XT", 1, 0)</f>
        <v>0</v>
      </c>
      <c r="K89" s="12" t="n">
        <f aca="false">IF($I$30="XT", $E$23, 0)</f>
        <v>0</v>
      </c>
      <c r="L89" s="40"/>
      <c r="M89" s="0"/>
      <c r="N89" s="6" t="s">
        <v>60</v>
      </c>
      <c r="O89" s="0"/>
      <c r="P89" s="0"/>
      <c r="Q89" s="0"/>
      <c r="R89" s="0"/>
      <c r="S89" s="0"/>
      <c r="T89" s="0"/>
      <c r="U89" s="0"/>
      <c r="V89" s="0"/>
      <c r="W89" s="0"/>
    </row>
    <row r="90" customFormat="false" ht="13.8" hidden="false" customHeight="false" outlineLevel="0" collapsed="false">
      <c r="B90" s="12"/>
      <c r="C90" s="12"/>
      <c r="D90" s="12"/>
      <c r="E90" s="12"/>
      <c r="F90" s="12"/>
      <c r="G90" s="41"/>
      <c r="H90" s="14"/>
      <c r="I90" s="12" t="s">
        <v>61</v>
      </c>
      <c r="J90" s="12" t="n">
        <f aca="false">IF($I$30="HS", 1, 0)</f>
        <v>0</v>
      </c>
      <c r="K90" s="12" t="n">
        <f aca="false">IF($I$30="HS", $E$23, 0)</f>
        <v>0</v>
      </c>
      <c r="L90" s="40"/>
      <c r="M90" s="0"/>
      <c r="N90" s="6" t="s">
        <v>62</v>
      </c>
      <c r="O90" s="0"/>
      <c r="P90" s="0"/>
      <c r="Q90" s="0"/>
      <c r="R90" s="0"/>
      <c r="S90" s="0"/>
      <c r="T90" s="0"/>
      <c r="U90" s="0"/>
      <c r="V90" s="0"/>
      <c r="W90" s="0"/>
    </row>
    <row r="91" customFormat="false" ht="13.8" hidden="false" customHeight="false" outlineLevel="0" collapsed="false">
      <c r="B91" s="12"/>
      <c r="C91" s="12"/>
      <c r="D91" s="12"/>
      <c r="E91" s="12"/>
      <c r="F91" s="12"/>
      <c r="G91" s="41"/>
      <c r="H91" s="14"/>
      <c r="I91" s="12" t="s">
        <v>63</v>
      </c>
      <c r="J91" s="12" t="n">
        <f aca="false">IF($I$30="OFF", 1, 0)</f>
        <v>0</v>
      </c>
      <c r="K91" s="12" t="n">
        <v>0</v>
      </c>
      <c r="L91" s="40"/>
      <c r="M91" s="0"/>
      <c r="N91" s="1" t="s">
        <v>64</v>
      </c>
      <c r="O91" s="0"/>
      <c r="P91" s="0"/>
      <c r="Q91" s="0"/>
      <c r="R91" s="0"/>
      <c r="S91" s="0"/>
      <c r="T91" s="0"/>
      <c r="U91" s="0"/>
      <c r="V91" s="0"/>
      <c r="W91" s="0"/>
    </row>
    <row r="92" customFormat="false" ht="13.8" hidden="false" customHeight="false" outlineLevel="0" collapsed="false">
      <c r="B92" s="12"/>
      <c r="C92" s="12"/>
      <c r="D92" s="12"/>
      <c r="E92" s="12"/>
      <c r="F92" s="12"/>
      <c r="G92" s="41"/>
      <c r="H92" s="12"/>
      <c r="I92" s="12"/>
      <c r="J92" s="12"/>
      <c r="K92" s="12" t="n">
        <f aca="false">SUM(K88:K91)</f>
        <v>12</v>
      </c>
      <c r="L92" s="40"/>
      <c r="M92" s="0"/>
      <c r="N92" s="1" t="s">
        <v>65</v>
      </c>
      <c r="O92" s="0"/>
      <c r="P92" s="0"/>
      <c r="Q92" s="0"/>
      <c r="R92" s="0"/>
      <c r="S92" s="0"/>
      <c r="T92" s="0"/>
      <c r="U92" s="0"/>
      <c r="V92" s="0"/>
      <c r="W92" s="0"/>
    </row>
    <row r="93" customFormat="false" ht="13.8" hidden="false" customHeight="false" outlineLevel="0" collapsed="false">
      <c r="B93" s="12"/>
      <c r="C93" s="12"/>
      <c r="D93" s="12"/>
      <c r="E93" s="12"/>
      <c r="F93" s="12"/>
      <c r="G93" s="41"/>
      <c r="H93" s="14"/>
      <c r="I93" s="12"/>
      <c r="J93" s="12"/>
      <c r="K93" s="12"/>
      <c r="L93" s="40"/>
      <c r="M93" s="0"/>
      <c r="N93" s="1" t="s">
        <v>66</v>
      </c>
      <c r="O93" s="0"/>
      <c r="P93" s="0"/>
      <c r="Q93" s="0"/>
      <c r="R93" s="0"/>
      <c r="S93" s="0"/>
      <c r="T93" s="0"/>
      <c r="U93" s="0"/>
      <c r="V93" s="0"/>
      <c r="W93" s="0"/>
    </row>
    <row r="94" customFormat="false" ht="13.8" hidden="false" customHeight="false" outlineLevel="0" collapsed="false">
      <c r="B94" s="12"/>
      <c r="C94" s="12"/>
      <c r="D94" s="12"/>
      <c r="E94" s="12"/>
      <c r="F94" s="12"/>
      <c r="G94" s="41"/>
      <c r="H94" s="14" t="s">
        <v>10</v>
      </c>
      <c r="I94" s="12" t="s">
        <v>67</v>
      </c>
      <c r="J94" s="12" t="n">
        <f aca="false">IF($L$17="DIV_1", 1, 0)</f>
        <v>0</v>
      </c>
      <c r="K94" s="12"/>
      <c r="L94" s="40"/>
      <c r="M94" s="0"/>
      <c r="N94" s="1" t="s">
        <v>68</v>
      </c>
      <c r="O94" s="0"/>
      <c r="P94" s="0"/>
      <c r="Q94" s="0"/>
      <c r="R94" s="0"/>
      <c r="S94" s="0"/>
      <c r="T94" s="0"/>
      <c r="U94" s="0"/>
      <c r="V94" s="0"/>
      <c r="W94" s="0"/>
    </row>
    <row r="95" customFormat="false" ht="13.8" hidden="false" customHeight="false" outlineLevel="0" collapsed="false">
      <c r="B95" s="12"/>
      <c r="C95" s="12"/>
      <c r="D95" s="12"/>
      <c r="E95" s="12"/>
      <c r="F95" s="12"/>
      <c r="G95" s="41"/>
      <c r="H95" s="14"/>
      <c r="I95" s="12" t="s">
        <v>11</v>
      </c>
      <c r="J95" s="12" t="n">
        <f aca="false">IF($L$17="DIV_2", 2, 0)</f>
        <v>2</v>
      </c>
      <c r="K95" s="12"/>
      <c r="L95" s="40"/>
      <c r="M95" s="0"/>
      <c r="N95" s="1" t="s">
        <v>69</v>
      </c>
      <c r="O95" s="0"/>
      <c r="P95" s="0"/>
      <c r="Q95" s="0"/>
      <c r="R95" s="0"/>
      <c r="S95" s="0"/>
      <c r="T95" s="0"/>
      <c r="U95" s="0"/>
      <c r="V95" s="0"/>
      <c r="W95" s="0"/>
    </row>
    <row r="96" customFormat="false" ht="13.8" hidden="false" customHeight="false" outlineLevel="0" collapsed="false">
      <c r="B96" s="12"/>
      <c r="C96" s="12"/>
      <c r="D96" s="12"/>
      <c r="E96" s="12"/>
      <c r="F96" s="12"/>
      <c r="G96" s="41"/>
      <c r="H96" s="14"/>
      <c r="I96" s="12" t="s">
        <v>28</v>
      </c>
      <c r="J96" s="12" t="n">
        <f aca="false">IF($L$17="DIV_3", 3, 0)</f>
        <v>0</v>
      </c>
      <c r="K96" s="12"/>
      <c r="L96" s="40"/>
      <c r="M96" s="0"/>
      <c r="N96" s="1" t="s">
        <v>70</v>
      </c>
      <c r="O96" s="0"/>
      <c r="P96" s="0"/>
      <c r="Q96" s="0"/>
      <c r="R96" s="0"/>
      <c r="S96" s="0"/>
      <c r="T96" s="0"/>
      <c r="U96" s="0"/>
      <c r="V96" s="0"/>
      <c r="W96" s="0"/>
    </row>
    <row r="97" customFormat="false" ht="13.8" hidden="false" customHeight="false" outlineLevel="0" collapsed="false">
      <c r="B97" s="12"/>
      <c r="C97" s="12"/>
      <c r="D97" s="12"/>
      <c r="E97" s="12"/>
      <c r="F97" s="12"/>
      <c r="G97" s="41"/>
      <c r="H97" s="14"/>
      <c r="I97" s="12" t="s">
        <v>71</v>
      </c>
      <c r="J97" s="12" t="n">
        <f aca="false">IF($L$17="DIV_4", 4, 0)</f>
        <v>0</v>
      </c>
      <c r="K97" s="12"/>
      <c r="L97" s="40"/>
      <c r="M97" s="0"/>
      <c r="N97" s="1" t="s">
        <v>72</v>
      </c>
      <c r="O97" s="0"/>
      <c r="P97" s="0"/>
      <c r="Q97" s="0"/>
      <c r="R97" s="0"/>
      <c r="S97" s="0"/>
      <c r="T97" s="0"/>
      <c r="U97" s="0"/>
      <c r="V97" s="0"/>
      <c r="W97" s="0"/>
    </row>
    <row r="98" customFormat="false" ht="13.8" hidden="false" customHeight="false" outlineLevel="0" collapsed="false">
      <c r="B98" s="12"/>
      <c r="C98" s="12"/>
      <c r="D98" s="12"/>
      <c r="E98" s="12"/>
      <c r="F98" s="12"/>
      <c r="G98" s="41"/>
      <c r="H98" s="14"/>
      <c r="I98" s="12" t="s">
        <v>73</v>
      </c>
      <c r="J98" s="12" t="n">
        <f aca="false">IF($L$17="DIV_5", 5, 0)</f>
        <v>0</v>
      </c>
      <c r="K98" s="12"/>
      <c r="L98" s="40"/>
      <c r="M98" s="0"/>
      <c r="N98" s="1" t="s">
        <v>74</v>
      </c>
      <c r="O98" s="0"/>
      <c r="P98" s="0"/>
      <c r="Q98" s="0"/>
      <c r="R98" s="0"/>
      <c r="S98" s="0"/>
      <c r="T98" s="0"/>
      <c r="U98" s="0"/>
      <c r="V98" s="0"/>
      <c r="W98" s="0"/>
    </row>
    <row r="99" customFormat="false" ht="13.8" hidden="false" customHeight="false" outlineLevel="0" collapsed="false">
      <c r="B99" s="12"/>
      <c r="C99" s="12"/>
      <c r="D99" s="12"/>
      <c r="E99" s="12"/>
      <c r="F99" s="12"/>
      <c r="G99" s="41"/>
      <c r="H99" s="14"/>
      <c r="I99" s="12" t="s">
        <v>75</v>
      </c>
      <c r="J99" s="12" t="n">
        <f aca="false">IF($L$17="DIV_6", 6, 0)</f>
        <v>0</v>
      </c>
      <c r="K99" s="12"/>
      <c r="L99" s="4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</row>
    <row r="100" customFormat="false" ht="13.8" hidden="false" customHeight="false" outlineLevel="0" collapsed="false">
      <c r="B100" s="12"/>
      <c r="C100" s="12"/>
      <c r="D100" s="12"/>
      <c r="E100" s="12"/>
      <c r="F100" s="12"/>
      <c r="G100" s="41"/>
      <c r="H100" s="14"/>
      <c r="I100" s="12" t="s">
        <v>76</v>
      </c>
      <c r="J100" s="12" t="n">
        <f aca="false">IF($L$17="DIV_10", 10, 0)</f>
        <v>0</v>
      </c>
      <c r="K100" s="12"/>
      <c r="L100" s="40"/>
      <c r="M100" s="0"/>
      <c r="N100" s="1" t="s">
        <v>77</v>
      </c>
      <c r="O100" s="0"/>
      <c r="P100" s="0"/>
      <c r="Q100" s="0"/>
      <c r="R100" s="0"/>
      <c r="S100" s="0"/>
      <c r="T100" s="0"/>
      <c r="U100" s="0"/>
      <c r="V100" s="0"/>
      <c r="W100" s="0"/>
    </row>
    <row r="101" customFormat="false" ht="13.8" hidden="false" customHeight="false" outlineLevel="0" collapsed="false">
      <c r="B101" s="12"/>
      <c r="C101" s="12"/>
      <c r="D101" s="12"/>
      <c r="E101" s="12"/>
      <c r="F101" s="12"/>
      <c r="G101" s="41"/>
      <c r="H101" s="14"/>
      <c r="I101" s="12" t="s">
        <v>78</v>
      </c>
      <c r="J101" s="12" t="n">
        <f aca="false">IF($L$17="DIV_12", 12, 0)</f>
        <v>0</v>
      </c>
      <c r="K101" s="12"/>
      <c r="L101" s="40"/>
      <c r="M101" s="0"/>
      <c r="N101" s="1" t="s">
        <v>79</v>
      </c>
      <c r="O101" s="0"/>
      <c r="P101" s="0"/>
      <c r="Q101" s="0"/>
      <c r="R101" s="0"/>
      <c r="S101" s="0"/>
      <c r="T101" s="0"/>
      <c r="U101" s="0"/>
      <c r="V101" s="0"/>
      <c r="W101" s="0"/>
    </row>
    <row r="102" customFormat="false" ht="13.8" hidden="false" customHeight="false" outlineLevel="0" collapsed="false">
      <c r="B102" s="12"/>
      <c r="C102" s="12"/>
      <c r="D102" s="12"/>
      <c r="E102" s="12"/>
      <c r="F102" s="12"/>
      <c r="G102" s="41"/>
      <c r="H102" s="14"/>
      <c r="I102" s="12"/>
      <c r="J102" s="12" t="n">
        <f aca="false">SUM(J94:J101)</f>
        <v>2</v>
      </c>
      <c r="K102" s="12"/>
      <c r="L102" s="40"/>
      <c r="M102" s="0"/>
      <c r="N102" s="1" t="s">
        <v>80</v>
      </c>
      <c r="O102" s="0"/>
      <c r="P102" s="0"/>
      <c r="Q102" s="0"/>
      <c r="R102" s="0"/>
      <c r="S102" s="0"/>
      <c r="T102" s="0"/>
      <c r="U102" s="0"/>
      <c r="V102" s="0"/>
      <c r="W102" s="0"/>
    </row>
    <row r="103" customFormat="false" ht="13.8" hidden="false" customHeight="false" outlineLevel="0" collapsed="false">
      <c r="B103" s="12"/>
      <c r="C103" s="12"/>
      <c r="D103" s="12"/>
      <c r="E103" s="12"/>
      <c r="F103" s="12"/>
      <c r="G103" s="41"/>
      <c r="H103" s="12"/>
      <c r="I103" s="12"/>
      <c r="J103" s="12"/>
      <c r="K103" s="12"/>
      <c r="L103" s="40"/>
      <c r="M103" s="0"/>
      <c r="N103" s="1" t="s">
        <v>81</v>
      </c>
      <c r="O103" s="0"/>
      <c r="P103" s="0"/>
      <c r="Q103" s="0"/>
      <c r="R103" s="0"/>
      <c r="S103" s="0"/>
      <c r="T103" s="0"/>
      <c r="U103" s="0"/>
      <c r="V103" s="0"/>
      <c r="W103" s="0"/>
    </row>
    <row r="104" customFormat="false" ht="13.8" hidden="false" customHeight="false" outlineLevel="0" collapsed="false">
      <c r="B104" s="12"/>
      <c r="C104" s="12"/>
      <c r="D104" s="12"/>
      <c r="E104" s="12"/>
      <c r="F104" s="12"/>
      <c r="G104" s="41"/>
      <c r="H104" s="14" t="s">
        <v>12</v>
      </c>
      <c r="I104" s="12"/>
      <c r="J104" s="12"/>
      <c r="K104" s="12"/>
      <c r="L104" s="40"/>
      <c r="M104" s="0"/>
      <c r="N104" s="1" t="s">
        <v>82</v>
      </c>
      <c r="O104" s="0"/>
      <c r="P104" s="0"/>
      <c r="Q104" s="0"/>
      <c r="R104" s="0"/>
      <c r="S104" s="0"/>
      <c r="T104" s="0"/>
      <c r="U104" s="0"/>
      <c r="V104" s="0"/>
      <c r="W104" s="0"/>
    </row>
    <row r="105" customFormat="false" ht="13.8" hidden="false" customHeight="false" outlineLevel="0" collapsed="false">
      <c r="B105" s="12"/>
      <c r="C105" s="12"/>
      <c r="D105" s="12"/>
      <c r="E105" s="12"/>
      <c r="F105" s="12"/>
      <c r="G105" s="41"/>
      <c r="H105" s="12"/>
      <c r="I105" s="12" t="s">
        <v>83</v>
      </c>
      <c r="J105" s="12" t="n">
        <f aca="false">IF($O$17=I105, 15, 0)</f>
        <v>0</v>
      </c>
      <c r="K105" s="12"/>
      <c r="L105" s="40"/>
      <c r="M105" s="0"/>
      <c r="N105" s="1" t="s">
        <v>84</v>
      </c>
      <c r="O105" s="0"/>
      <c r="P105" s="0"/>
      <c r="Q105" s="0"/>
      <c r="R105" s="0"/>
      <c r="S105" s="0"/>
      <c r="T105" s="0"/>
      <c r="U105" s="0"/>
      <c r="V105" s="0"/>
      <c r="W105" s="0"/>
    </row>
    <row r="106" customFormat="false" ht="13.8" hidden="false" customHeight="false" outlineLevel="0" collapsed="false">
      <c r="B106" s="12"/>
      <c r="C106" s="12"/>
      <c r="D106" s="12"/>
      <c r="E106" s="12"/>
      <c r="F106" s="12"/>
      <c r="G106" s="41"/>
      <c r="H106" s="12"/>
      <c r="I106" s="12" t="s">
        <v>85</v>
      </c>
      <c r="J106" s="12" t="n">
        <f aca="false">IF($O$17=I106, 16, 0)</f>
        <v>0</v>
      </c>
      <c r="K106" s="12"/>
      <c r="L106" s="40"/>
      <c r="M106" s="0"/>
      <c r="N106" s="1" t="s">
        <v>86</v>
      </c>
      <c r="O106" s="0"/>
      <c r="P106" s="0"/>
      <c r="Q106" s="0"/>
      <c r="R106" s="0"/>
      <c r="S106" s="0"/>
      <c r="T106" s="0"/>
      <c r="U106" s="0"/>
      <c r="V106" s="0"/>
      <c r="W106" s="0"/>
    </row>
    <row r="107" customFormat="false" ht="13.8" hidden="false" customHeight="false" outlineLevel="0" collapsed="false">
      <c r="B107" s="12"/>
      <c r="C107" s="12"/>
      <c r="D107" s="12"/>
      <c r="E107" s="12"/>
      <c r="F107" s="12"/>
      <c r="G107" s="41"/>
      <c r="H107" s="12"/>
      <c r="I107" s="12" t="s">
        <v>87</v>
      </c>
      <c r="J107" s="12" t="n">
        <f aca="false">IF($O$17=I107, 17, 0)</f>
        <v>0</v>
      </c>
      <c r="K107" s="12"/>
      <c r="L107" s="40"/>
      <c r="M107" s="0"/>
      <c r="N107" s="0"/>
      <c r="O107" s="0"/>
      <c r="P107" s="0"/>
      <c r="Q107" s="0"/>
      <c r="R107" s="0"/>
      <c r="S107" s="0"/>
      <c r="T107" s="0"/>
      <c r="U107" s="0"/>
      <c r="V107" s="0"/>
      <c r="W107" s="0"/>
    </row>
    <row r="108" customFormat="false" ht="13.8" hidden="false" customHeight="false" outlineLevel="0" collapsed="false">
      <c r="B108" s="12"/>
      <c r="C108" s="12"/>
      <c r="D108" s="12"/>
      <c r="E108" s="12"/>
      <c r="F108" s="12"/>
      <c r="G108" s="41"/>
      <c r="H108" s="12"/>
      <c r="I108" s="12" t="s">
        <v>88</v>
      </c>
      <c r="J108" s="12" t="n">
        <f aca="false">IF($O$17=I108, 18, 0)</f>
        <v>0</v>
      </c>
      <c r="K108" s="12"/>
      <c r="L108" s="40"/>
      <c r="M108" s="0"/>
      <c r="N108" s="0"/>
      <c r="O108" s="0"/>
      <c r="P108" s="0"/>
      <c r="Q108" s="0"/>
      <c r="R108" s="0"/>
      <c r="S108" s="0"/>
      <c r="T108" s="0"/>
      <c r="U108" s="0"/>
      <c r="V108" s="0"/>
      <c r="W108" s="0"/>
    </row>
    <row r="109" customFormat="false" ht="13.8" hidden="false" customHeight="false" outlineLevel="0" collapsed="false">
      <c r="B109" s="12"/>
      <c r="C109" s="12"/>
      <c r="D109" s="12"/>
      <c r="E109" s="12"/>
      <c r="F109" s="12"/>
      <c r="G109" s="41"/>
      <c r="H109" s="12"/>
      <c r="I109" s="12" t="s">
        <v>89</v>
      </c>
      <c r="J109" s="12" t="n">
        <f aca="false">IF($O$17=I109, 19, 0)</f>
        <v>0</v>
      </c>
      <c r="K109" s="12"/>
      <c r="L109" s="40"/>
      <c r="M109" s="0"/>
      <c r="N109" s="0"/>
      <c r="O109" s="0"/>
      <c r="P109" s="0"/>
      <c r="Q109" s="0"/>
      <c r="R109" s="0"/>
      <c r="S109" s="0"/>
      <c r="T109" s="0"/>
      <c r="U109" s="0"/>
      <c r="V109" s="0"/>
      <c r="W109" s="0"/>
    </row>
    <row r="110" customFormat="false" ht="13.8" hidden="false" customHeight="false" outlineLevel="0" collapsed="false">
      <c r="B110" s="12"/>
      <c r="C110" s="12"/>
      <c r="D110" s="12"/>
      <c r="E110" s="12"/>
      <c r="F110" s="12"/>
      <c r="G110" s="41"/>
      <c r="H110" s="12"/>
      <c r="I110" s="12" t="s">
        <v>13</v>
      </c>
      <c r="J110" s="12" t="n">
        <f aca="false">IF($O$17=I110, 20, 0)</f>
        <v>20</v>
      </c>
      <c r="K110" s="12"/>
      <c r="L110" s="40"/>
      <c r="M110" s="0"/>
      <c r="N110" s="0"/>
      <c r="O110" s="0"/>
      <c r="P110" s="0"/>
      <c r="Q110" s="0"/>
      <c r="R110" s="0"/>
      <c r="S110" s="0"/>
      <c r="T110" s="0"/>
      <c r="U110" s="0"/>
      <c r="V110" s="0"/>
      <c r="W110" s="0"/>
    </row>
    <row r="111" customFormat="false" ht="14.4" hidden="false" customHeight="false" outlineLevel="0" collapsed="false">
      <c r="B111" s="12"/>
      <c r="C111" s="12"/>
      <c r="D111" s="12"/>
      <c r="E111" s="12"/>
      <c r="F111" s="12"/>
      <c r="G111" s="41"/>
      <c r="H111" s="12"/>
      <c r="I111" s="12" t="s">
        <v>90</v>
      </c>
      <c r="J111" s="12" t="n">
        <f aca="false">IF($O$17=I111, 21, 0)</f>
        <v>0</v>
      </c>
      <c r="K111" s="12"/>
      <c r="L111" s="4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</row>
    <row r="112" customFormat="false" ht="13.8" hidden="false" customHeight="false" outlineLevel="0" collapsed="false">
      <c r="B112" s="12"/>
      <c r="C112" s="12"/>
      <c r="D112" s="12"/>
      <c r="E112" s="12"/>
      <c r="F112" s="12"/>
      <c r="G112" s="41"/>
      <c r="H112" s="12"/>
      <c r="I112" s="12" t="s">
        <v>91</v>
      </c>
      <c r="J112" s="12" t="n">
        <f aca="false">IF($O$17=I112, 24, 0)</f>
        <v>0</v>
      </c>
      <c r="K112" s="12"/>
      <c r="L112" s="40"/>
      <c r="M112" s="0"/>
      <c r="N112" s="31"/>
      <c r="O112" s="32" t="s">
        <v>92</v>
      </c>
      <c r="P112" s="32"/>
      <c r="Q112" s="32"/>
      <c r="R112" s="32"/>
      <c r="S112" s="32"/>
      <c r="T112" s="32"/>
      <c r="U112" s="32"/>
      <c r="V112" s="32"/>
      <c r="W112" s="33"/>
    </row>
    <row r="113" customFormat="false" ht="13.8" hidden="false" customHeight="false" outlineLevel="0" collapsed="false">
      <c r="B113" s="12"/>
      <c r="C113" s="12"/>
      <c r="D113" s="12"/>
      <c r="E113" s="12"/>
      <c r="F113" s="12"/>
      <c r="G113" s="41"/>
      <c r="H113" s="12"/>
      <c r="I113" s="12"/>
      <c r="J113" s="12" t="n">
        <f aca="false">SUM(J105:J112)</f>
        <v>20</v>
      </c>
      <c r="K113" s="12"/>
      <c r="L113" s="40"/>
      <c r="M113" s="0"/>
      <c r="N113" s="41"/>
      <c r="O113" s="12"/>
      <c r="P113" s="12"/>
      <c r="Q113" s="12"/>
      <c r="R113" s="12"/>
      <c r="S113" s="12"/>
      <c r="T113" s="12"/>
      <c r="U113" s="12"/>
      <c r="V113" s="12"/>
      <c r="W113" s="40"/>
    </row>
    <row r="114" customFormat="false" ht="14.4" hidden="false" customHeight="false" outlineLevel="0" collapsed="false">
      <c r="B114" s="12"/>
      <c r="C114" s="12"/>
      <c r="D114" s="12"/>
      <c r="E114" s="12"/>
      <c r="F114" s="12"/>
      <c r="G114" s="41"/>
      <c r="H114" s="12"/>
      <c r="I114" s="12"/>
      <c r="J114" s="12"/>
      <c r="K114" s="12"/>
      <c r="L114" s="40"/>
      <c r="M114" s="0"/>
      <c r="N114" s="41"/>
      <c r="O114" s="12"/>
      <c r="P114" s="12"/>
      <c r="Q114" s="12"/>
      <c r="R114" s="12"/>
      <c r="S114" s="12"/>
      <c r="T114" s="12"/>
      <c r="U114" s="12"/>
      <c r="V114" s="12"/>
      <c r="W114" s="40"/>
    </row>
    <row r="115" customFormat="false" ht="13.8" hidden="false" customHeight="false" outlineLevel="0" collapsed="false">
      <c r="B115" s="12"/>
      <c r="C115" s="12"/>
      <c r="D115" s="12"/>
      <c r="E115" s="12"/>
      <c r="F115" s="12"/>
      <c r="G115" s="41"/>
      <c r="H115" s="14" t="s">
        <v>14</v>
      </c>
      <c r="I115" s="12" t="s">
        <v>67</v>
      </c>
      <c r="J115" s="12" t="n">
        <f aca="false">IF($R$17="DIV_1", 1, 0)</f>
        <v>0</v>
      </c>
      <c r="K115" s="12"/>
      <c r="L115" s="40"/>
      <c r="M115" s="0"/>
      <c r="N115" s="42" t="s">
        <v>93</v>
      </c>
      <c r="O115" s="32"/>
      <c r="P115" s="32"/>
      <c r="Q115" s="32"/>
      <c r="R115" s="32"/>
      <c r="S115" s="32"/>
      <c r="T115" s="32"/>
      <c r="U115" s="32"/>
      <c r="V115" s="32"/>
      <c r="W115" s="33"/>
    </row>
    <row r="116" customFormat="false" ht="13.8" hidden="false" customHeight="false" outlineLevel="0" collapsed="false">
      <c r="B116" s="12"/>
      <c r="C116" s="12"/>
      <c r="D116" s="12"/>
      <c r="E116" s="12"/>
      <c r="F116" s="12"/>
      <c r="G116" s="41"/>
      <c r="H116" s="12"/>
      <c r="I116" s="12" t="s">
        <v>11</v>
      </c>
      <c r="J116" s="12" t="n">
        <f aca="false">IF($R$17="DIV_2", 2, 0)</f>
        <v>2</v>
      </c>
      <c r="K116" s="12"/>
      <c r="L116" s="40"/>
      <c r="M116" s="0"/>
      <c r="N116" s="41" t="n">
        <v>1</v>
      </c>
      <c r="O116" s="12" t="s">
        <v>94</v>
      </c>
      <c r="P116" s="12"/>
      <c r="Q116" s="12"/>
      <c r="R116" s="12" t="n">
        <f aca="false">IF($I$10=$O116, N116, 0)</f>
        <v>0</v>
      </c>
      <c r="S116" s="12"/>
      <c r="T116" s="12"/>
      <c r="U116" s="12"/>
      <c r="V116" s="12"/>
      <c r="W116" s="40"/>
    </row>
    <row r="117" customFormat="false" ht="13.8" hidden="false" customHeight="false" outlineLevel="0" collapsed="false">
      <c r="B117" s="12"/>
      <c r="C117" s="12"/>
      <c r="D117" s="12"/>
      <c r="E117" s="12"/>
      <c r="F117" s="12"/>
      <c r="G117" s="41"/>
      <c r="H117" s="12"/>
      <c r="I117" s="12" t="s">
        <v>71</v>
      </c>
      <c r="J117" s="12" t="n">
        <f aca="false">IF($R$17="DIV_4", 4, 0)</f>
        <v>0</v>
      </c>
      <c r="K117" s="12"/>
      <c r="L117" s="40"/>
      <c r="M117" s="0"/>
      <c r="N117" s="41" t="n">
        <v>2</v>
      </c>
      <c r="O117" s="12" t="s">
        <v>4</v>
      </c>
      <c r="P117" s="12"/>
      <c r="Q117" s="12"/>
      <c r="R117" s="12" t="n">
        <f aca="false">IF($I$10=$O117, N117, 0)</f>
        <v>2</v>
      </c>
      <c r="S117" s="12"/>
      <c r="T117" s="12"/>
      <c r="U117" s="12"/>
      <c r="V117" s="12"/>
      <c r="W117" s="40"/>
    </row>
    <row r="118" customFormat="false" ht="13.8" hidden="false" customHeight="false" outlineLevel="0" collapsed="false">
      <c r="B118" s="12"/>
      <c r="C118" s="12"/>
      <c r="D118" s="12"/>
      <c r="E118" s="12"/>
      <c r="F118" s="12"/>
      <c r="G118" s="41"/>
      <c r="H118" s="12"/>
      <c r="I118" s="12" t="s">
        <v>95</v>
      </c>
      <c r="J118" s="12" t="n">
        <f aca="false">IF($R$17="DIV_8", 8, 0)</f>
        <v>0</v>
      </c>
      <c r="K118" s="0"/>
      <c r="L118" s="40"/>
      <c r="M118" s="0"/>
      <c r="N118" s="41" t="n">
        <v>4</v>
      </c>
      <c r="O118" s="12" t="s">
        <v>96</v>
      </c>
      <c r="P118" s="12"/>
      <c r="Q118" s="12"/>
      <c r="R118" s="12" t="n">
        <f aca="false">IF($I$10=$O118, N118, 0)</f>
        <v>0</v>
      </c>
      <c r="S118" s="12"/>
      <c r="T118" s="12"/>
      <c r="U118" s="12"/>
      <c r="V118" s="12"/>
      <c r="W118" s="40"/>
    </row>
    <row r="119" customFormat="false" ht="13.8" hidden="false" customHeight="false" outlineLevel="0" collapsed="false">
      <c r="B119" s="12"/>
      <c r="C119" s="12"/>
      <c r="D119" s="12"/>
      <c r="E119" s="12"/>
      <c r="F119" s="12"/>
      <c r="G119" s="41"/>
      <c r="H119" s="12"/>
      <c r="I119" s="12" t="s">
        <v>97</v>
      </c>
      <c r="J119" s="12" t="n">
        <f aca="false">IF($R$17="DIV_16", 16, 0)</f>
        <v>0</v>
      </c>
      <c r="K119" s="0"/>
      <c r="L119" s="40"/>
      <c r="M119" s="0"/>
      <c r="N119" s="41" t="n">
        <v>8</v>
      </c>
      <c r="O119" s="12" t="s">
        <v>98</v>
      </c>
      <c r="P119" s="12"/>
      <c r="Q119" s="12"/>
      <c r="R119" s="12" t="n">
        <f aca="false">IF($I$10=$O119, N119, 0)</f>
        <v>0</v>
      </c>
      <c r="S119" s="12"/>
      <c r="T119" s="12"/>
      <c r="U119" s="12"/>
      <c r="V119" s="12"/>
      <c r="W119" s="40"/>
    </row>
    <row r="120" customFormat="false" ht="13.8" hidden="false" customHeight="false" outlineLevel="0" collapsed="false">
      <c r="B120" s="12"/>
      <c r="C120" s="12"/>
      <c r="D120" s="12"/>
      <c r="E120" s="12"/>
      <c r="F120" s="12"/>
      <c r="G120" s="41"/>
      <c r="H120" s="12"/>
      <c r="I120" s="12" t="s">
        <v>99</v>
      </c>
      <c r="J120" s="12" t="n">
        <f aca="false">IF($R$17="DIV_32", 32, 0)</f>
        <v>0</v>
      </c>
      <c r="K120" s="0"/>
      <c r="L120" s="40"/>
      <c r="M120" s="0"/>
      <c r="N120" s="41" t="n">
        <v>16</v>
      </c>
      <c r="O120" s="12" t="s">
        <v>100</v>
      </c>
      <c r="P120" s="12"/>
      <c r="Q120" s="12"/>
      <c r="R120" s="12" t="n">
        <f aca="false">IF($I$10=$O120, N120, 0)</f>
        <v>0</v>
      </c>
      <c r="S120" s="12"/>
      <c r="T120" s="12"/>
      <c r="U120" s="12"/>
      <c r="V120" s="12"/>
      <c r="W120" s="40"/>
    </row>
    <row r="121" customFormat="false" ht="13.8" hidden="false" customHeight="false" outlineLevel="0" collapsed="false">
      <c r="B121" s="12"/>
      <c r="C121" s="12"/>
      <c r="D121" s="12"/>
      <c r="E121" s="12"/>
      <c r="F121" s="12"/>
      <c r="G121" s="41"/>
      <c r="H121" s="12"/>
      <c r="I121" s="12" t="s">
        <v>101</v>
      </c>
      <c r="J121" s="12" t="n">
        <f aca="false">IF($R$17="DIV_64", 64, 0)</f>
        <v>0</v>
      </c>
      <c r="K121" s="0"/>
      <c r="L121" s="40"/>
      <c r="M121" s="0"/>
      <c r="N121" s="41" t="n">
        <v>32</v>
      </c>
      <c r="O121" s="12" t="s">
        <v>102</v>
      </c>
      <c r="P121" s="12"/>
      <c r="Q121" s="12"/>
      <c r="R121" s="12" t="n">
        <f aca="false">IF($I$10=$O121, N121, 0)</f>
        <v>0</v>
      </c>
      <c r="S121" s="12"/>
      <c r="T121" s="12"/>
      <c r="U121" s="12"/>
      <c r="V121" s="12"/>
      <c r="W121" s="40"/>
    </row>
    <row r="122" customFormat="false" ht="13.8" hidden="false" customHeight="false" outlineLevel="0" collapsed="false">
      <c r="B122" s="12"/>
      <c r="C122" s="12"/>
      <c r="D122" s="12"/>
      <c r="E122" s="12"/>
      <c r="F122" s="12"/>
      <c r="G122" s="41"/>
      <c r="H122" s="12"/>
      <c r="I122" s="12" t="s">
        <v>103</v>
      </c>
      <c r="J122" s="12" t="n">
        <f aca="false">IF($R$17="DIV_256", 256, 0)</f>
        <v>0</v>
      </c>
      <c r="K122" s="0"/>
      <c r="L122" s="40"/>
      <c r="M122" s="0"/>
      <c r="N122" s="41" t="n">
        <v>64</v>
      </c>
      <c r="O122" s="12" t="s">
        <v>104</v>
      </c>
      <c r="P122" s="12"/>
      <c r="Q122" s="12"/>
      <c r="R122" s="12" t="n">
        <f aca="false">IF($I$10=$O122, N122, 0)</f>
        <v>0</v>
      </c>
      <c r="S122" s="12"/>
      <c r="T122" s="12"/>
      <c r="U122" s="12"/>
      <c r="V122" s="12"/>
      <c r="W122" s="40"/>
    </row>
    <row r="123" customFormat="false" ht="13.8" hidden="false" customHeight="false" outlineLevel="0" collapsed="false">
      <c r="B123" s="12"/>
      <c r="C123" s="12"/>
      <c r="D123" s="12"/>
      <c r="E123" s="12"/>
      <c r="F123" s="12"/>
      <c r="G123" s="41"/>
      <c r="H123" s="12"/>
      <c r="I123" s="12"/>
      <c r="J123" s="12" t="n">
        <f aca="false">SUM(J115:J122)</f>
        <v>2</v>
      </c>
      <c r="K123" s="0"/>
      <c r="L123" s="40"/>
      <c r="M123" s="0"/>
      <c r="N123" s="41" t="n">
        <v>256</v>
      </c>
      <c r="O123" s="12" t="s">
        <v>105</v>
      </c>
      <c r="P123" s="12"/>
      <c r="Q123" s="12"/>
      <c r="R123" s="12" t="n">
        <f aca="false">IF($I$10=$O123, N123, 0)</f>
        <v>0</v>
      </c>
      <c r="S123" s="12"/>
      <c r="T123" s="12"/>
      <c r="U123" s="12"/>
      <c r="V123" s="12"/>
      <c r="W123" s="40"/>
    </row>
    <row r="124" customFormat="false" ht="13.8" hidden="false" customHeight="false" outlineLevel="0" collapsed="false">
      <c r="B124" s="12"/>
      <c r="C124" s="12"/>
      <c r="D124" s="12"/>
      <c r="E124" s="12"/>
      <c r="F124" s="12"/>
      <c r="G124" s="41"/>
      <c r="H124" s="12"/>
      <c r="I124" s="12"/>
      <c r="J124" s="12"/>
      <c r="K124" s="0"/>
      <c r="L124" s="40"/>
      <c r="M124" s="0"/>
      <c r="N124" s="41"/>
      <c r="O124" s="12"/>
      <c r="P124" s="12"/>
      <c r="Q124" s="12"/>
      <c r="R124" s="12" t="n">
        <f aca="false">SUM(R116:R123)</f>
        <v>2</v>
      </c>
      <c r="S124" s="12"/>
      <c r="T124" s="12"/>
      <c r="U124" s="12"/>
      <c r="V124" s="12"/>
      <c r="W124" s="40"/>
    </row>
    <row r="125" customFormat="false" ht="13.8" hidden="false" customHeight="false" outlineLevel="0" collapsed="false">
      <c r="B125" s="12"/>
      <c r="C125" s="12"/>
      <c r="D125" s="12"/>
      <c r="E125" s="12"/>
      <c r="F125" s="12"/>
      <c r="G125" s="41"/>
      <c r="H125" s="14" t="s">
        <v>35</v>
      </c>
      <c r="I125" s="12" t="s">
        <v>106</v>
      </c>
      <c r="J125" s="12" t="n">
        <v>8</v>
      </c>
      <c r="K125" s="12" t="n">
        <f aca="false">IF($O$56=I125, J125, 0)</f>
        <v>0</v>
      </c>
      <c r="L125" s="40"/>
      <c r="M125" s="0"/>
      <c r="N125" s="41" t="s">
        <v>107</v>
      </c>
      <c r="O125" s="12"/>
      <c r="P125" s="12"/>
      <c r="Q125" s="12"/>
      <c r="R125" s="12"/>
      <c r="S125" s="12"/>
      <c r="T125" s="12"/>
      <c r="U125" s="12"/>
      <c r="V125" s="12"/>
      <c r="W125" s="40"/>
    </row>
    <row r="126" customFormat="false" ht="13.8" hidden="false" customHeight="false" outlineLevel="0" collapsed="false">
      <c r="B126" s="12"/>
      <c r="C126" s="12"/>
      <c r="D126" s="12"/>
      <c r="E126" s="12"/>
      <c r="F126" s="12"/>
      <c r="G126" s="41"/>
      <c r="H126" s="12"/>
      <c r="I126" s="12" t="s">
        <v>36</v>
      </c>
      <c r="J126" s="12" t="n">
        <f aca="false">$U$19</f>
        <v>40</v>
      </c>
      <c r="K126" s="12" t="n">
        <f aca="false">IF($O$56=I126, J126, 0)</f>
        <v>40</v>
      </c>
      <c r="L126" s="40"/>
      <c r="M126" s="0"/>
      <c r="N126" s="41"/>
      <c r="O126" s="12" t="n">
        <v>1</v>
      </c>
      <c r="P126" s="12"/>
      <c r="Q126" s="12"/>
      <c r="R126" s="12"/>
      <c r="S126" s="12"/>
      <c r="T126" s="12"/>
      <c r="U126" s="12"/>
      <c r="V126" s="12"/>
      <c r="W126" s="40"/>
    </row>
    <row r="127" customFormat="false" ht="13.8" hidden="false" customHeight="false" outlineLevel="0" collapsed="false">
      <c r="B127" s="12"/>
      <c r="C127" s="12"/>
      <c r="D127" s="12"/>
      <c r="E127" s="12"/>
      <c r="F127" s="12"/>
      <c r="G127" s="41"/>
      <c r="H127" s="12"/>
      <c r="I127" s="12" t="s">
        <v>108</v>
      </c>
      <c r="J127" s="12" t="n">
        <f aca="false">$F$25</f>
        <v>12</v>
      </c>
      <c r="K127" s="12" t="n">
        <f aca="false">IF($O$56=I127, J127, 0)</f>
        <v>0</v>
      </c>
      <c r="L127" s="40"/>
      <c r="M127" s="0"/>
      <c r="N127" s="41"/>
      <c r="O127" s="12" t="n">
        <v>2</v>
      </c>
      <c r="P127" s="12"/>
      <c r="Q127" s="12"/>
      <c r="R127" s="12"/>
      <c r="S127" s="12"/>
      <c r="T127" s="12"/>
      <c r="U127" s="12"/>
      <c r="V127" s="12"/>
      <c r="W127" s="40"/>
    </row>
    <row r="128" customFormat="false" ht="13.8" hidden="false" customHeight="false" outlineLevel="0" collapsed="false">
      <c r="B128" s="12"/>
      <c r="C128" s="12"/>
      <c r="D128" s="12"/>
      <c r="E128" s="12"/>
      <c r="F128" s="12"/>
      <c r="G128" s="41"/>
      <c r="H128" s="12"/>
      <c r="I128" s="12" t="s">
        <v>109</v>
      </c>
      <c r="J128" s="12" t="n">
        <f aca="false">$U$19</f>
        <v>40</v>
      </c>
      <c r="K128" s="12" t="n">
        <f aca="false">IF($O$56=I128, J128, 0)</f>
        <v>0</v>
      </c>
      <c r="L128" s="40"/>
      <c r="M128" s="0"/>
      <c r="N128" s="41"/>
      <c r="O128" s="14" t="s">
        <v>110</v>
      </c>
      <c r="P128" s="12"/>
      <c r="Q128" s="12"/>
      <c r="R128" s="12"/>
      <c r="S128" s="12"/>
      <c r="T128" s="12"/>
      <c r="U128" s="12"/>
      <c r="V128" s="12"/>
      <c r="W128" s="40"/>
    </row>
    <row r="129" customFormat="false" ht="13.8" hidden="false" customHeight="false" outlineLevel="0" collapsed="false">
      <c r="B129" s="12"/>
      <c r="C129" s="12"/>
      <c r="D129" s="12"/>
      <c r="E129" s="12"/>
      <c r="F129" s="12"/>
      <c r="G129" s="41"/>
      <c r="H129" s="12"/>
      <c r="I129" s="12" t="s">
        <v>111</v>
      </c>
      <c r="J129" s="43" t="n">
        <f aca="false">$G$46 * 0.001</f>
        <v>0.032768</v>
      </c>
      <c r="K129" s="12" t="n">
        <f aca="false">IF($O$56=I129, J129, 0)</f>
        <v>0</v>
      </c>
      <c r="L129" s="40"/>
      <c r="M129" s="0"/>
      <c r="N129" s="41"/>
      <c r="O129" s="12" t="n">
        <v>64</v>
      </c>
      <c r="P129" s="12"/>
      <c r="Q129" s="12"/>
      <c r="R129" s="12"/>
      <c r="S129" s="12"/>
      <c r="T129" s="12"/>
      <c r="U129" s="12"/>
      <c r="V129" s="12"/>
      <c r="W129" s="40"/>
    </row>
    <row r="130" customFormat="false" ht="13.8" hidden="false" customHeight="false" outlineLevel="0" collapsed="false">
      <c r="B130" s="12"/>
      <c r="C130" s="12"/>
      <c r="D130" s="12"/>
      <c r="E130" s="12"/>
      <c r="F130" s="12"/>
      <c r="G130" s="41"/>
      <c r="H130" s="12"/>
      <c r="I130" s="12" t="s">
        <v>112</v>
      </c>
      <c r="J130" s="43" t="n">
        <f aca="false">$G$42 * 0.001</f>
        <v>0.03125</v>
      </c>
      <c r="K130" s="12" t="n">
        <f aca="false">IF($O$56=I130, J130, 0)</f>
        <v>0</v>
      </c>
      <c r="L130" s="40"/>
      <c r="M130" s="0"/>
      <c r="N130" s="41"/>
      <c r="O130" s="12"/>
      <c r="P130" s="12"/>
      <c r="Q130" s="12"/>
      <c r="R130" s="12"/>
      <c r="S130" s="12"/>
      <c r="T130" s="12"/>
      <c r="U130" s="12"/>
      <c r="V130" s="12"/>
      <c r="W130" s="40"/>
    </row>
    <row r="131" customFormat="false" ht="13.8" hidden="false" customHeight="false" outlineLevel="0" collapsed="false">
      <c r="B131" s="12"/>
      <c r="C131" s="12"/>
      <c r="D131" s="12"/>
      <c r="E131" s="12"/>
      <c r="F131" s="12"/>
      <c r="G131" s="41"/>
      <c r="H131" s="12"/>
      <c r="I131" s="12" t="s">
        <v>113</v>
      </c>
      <c r="J131" s="44" t="n">
        <v>0.5</v>
      </c>
      <c r="K131" s="12" t="n">
        <f aca="false">IF($O$56=I131, J131, 0)</f>
        <v>0</v>
      </c>
      <c r="L131" s="40"/>
      <c r="M131" s="0"/>
      <c r="N131" s="41" t="s">
        <v>114</v>
      </c>
      <c r="O131" s="12"/>
      <c r="P131" s="12"/>
      <c r="Q131" s="12"/>
      <c r="R131" s="12"/>
      <c r="S131" s="12"/>
      <c r="T131" s="12"/>
      <c r="U131" s="12"/>
      <c r="V131" s="12"/>
      <c r="W131" s="40"/>
    </row>
    <row r="132" customFormat="false" ht="13.8" hidden="false" customHeight="false" outlineLevel="0" collapsed="false">
      <c r="B132" s="12"/>
      <c r="C132" s="12"/>
      <c r="D132" s="12"/>
      <c r="E132" s="12"/>
      <c r="F132" s="12"/>
      <c r="G132" s="41"/>
      <c r="H132" s="12"/>
      <c r="I132" s="12" t="s">
        <v>115</v>
      </c>
      <c r="J132" s="45" t="n">
        <f aca="false">$K$12</f>
        <v>4</v>
      </c>
      <c r="K132" s="12" t="n">
        <f aca="false">IF($O$56=I132, J132, 0)</f>
        <v>0</v>
      </c>
      <c r="L132" s="40"/>
      <c r="M132" s="0"/>
      <c r="N132" s="41"/>
      <c r="O132" s="12" t="n">
        <v>1</v>
      </c>
      <c r="P132" s="12"/>
      <c r="Q132" s="12"/>
      <c r="R132" s="12"/>
      <c r="S132" s="12"/>
      <c r="T132" s="12"/>
      <c r="U132" s="12"/>
      <c r="V132" s="12"/>
      <c r="W132" s="40"/>
    </row>
    <row r="133" customFormat="false" ht="13.8" hidden="false" customHeight="false" outlineLevel="0" collapsed="false">
      <c r="B133" s="12"/>
      <c r="C133" s="12"/>
      <c r="D133" s="12"/>
      <c r="E133" s="12"/>
      <c r="F133" s="12"/>
      <c r="G133" s="41"/>
      <c r="H133" s="12"/>
      <c r="I133" s="12"/>
      <c r="J133" s="12"/>
      <c r="K133" s="12" t="n">
        <f aca="false">SUM(K125:K132)</f>
        <v>40</v>
      </c>
      <c r="L133" s="40"/>
      <c r="M133" s="0"/>
      <c r="N133" s="41"/>
      <c r="O133" s="12" t="n">
        <v>2</v>
      </c>
      <c r="P133" s="12"/>
      <c r="Q133" s="12"/>
      <c r="R133" s="12"/>
      <c r="S133" s="12"/>
      <c r="T133" s="12"/>
      <c r="U133" s="12"/>
      <c r="V133" s="12"/>
      <c r="W133" s="40"/>
    </row>
    <row r="134" customFormat="false" ht="13.8" hidden="false" customHeight="false" outlineLevel="0" collapsed="false">
      <c r="B134" s="12"/>
      <c r="C134" s="12"/>
      <c r="D134" s="12"/>
      <c r="E134" s="12"/>
      <c r="F134" s="12"/>
      <c r="G134" s="41"/>
      <c r="H134" s="0"/>
      <c r="I134" s="0"/>
      <c r="J134" s="0"/>
      <c r="K134" s="0"/>
      <c r="L134" s="40"/>
      <c r="M134" s="0"/>
      <c r="N134" s="41"/>
      <c r="O134" s="14" t="n">
        <v>4</v>
      </c>
      <c r="P134" s="12"/>
      <c r="Q134" s="12"/>
      <c r="R134" s="12"/>
      <c r="S134" s="12"/>
      <c r="T134" s="12"/>
      <c r="U134" s="12"/>
      <c r="V134" s="12"/>
      <c r="W134" s="40"/>
    </row>
    <row r="135" customFormat="false" ht="13.8" hidden="false" customHeight="false" outlineLevel="0" collapsed="false">
      <c r="B135" s="12"/>
      <c r="C135" s="12"/>
      <c r="D135" s="12"/>
      <c r="E135" s="12"/>
      <c r="F135" s="12"/>
      <c r="G135" s="41"/>
      <c r="H135" s="1" t="s">
        <v>116</v>
      </c>
      <c r="I135" s="12" t="s">
        <v>67</v>
      </c>
      <c r="J135" s="12" t="n">
        <f aca="false">IF($M$35="DIV_1", 1, 0)</f>
        <v>0</v>
      </c>
      <c r="K135" s="0"/>
      <c r="L135" s="40"/>
      <c r="M135" s="0"/>
      <c r="N135" s="41"/>
      <c r="O135" s="12" t="n">
        <v>8</v>
      </c>
      <c r="P135" s="12"/>
      <c r="Q135" s="12"/>
      <c r="R135" s="12"/>
      <c r="S135" s="12"/>
      <c r="T135" s="12"/>
      <c r="U135" s="12"/>
      <c r="V135" s="12"/>
      <c r="W135" s="40"/>
    </row>
    <row r="136" customFormat="false" ht="13.8" hidden="false" customHeight="false" outlineLevel="0" collapsed="false">
      <c r="B136" s="12"/>
      <c r="C136" s="12"/>
      <c r="D136" s="12"/>
      <c r="E136" s="12"/>
      <c r="F136" s="12"/>
      <c r="G136" s="41"/>
      <c r="H136" s="0"/>
      <c r="I136" s="12" t="s">
        <v>11</v>
      </c>
      <c r="J136" s="12" t="n">
        <f aca="false">IF($M$35="DIV_2",2, 0)</f>
        <v>0</v>
      </c>
      <c r="K136" s="0"/>
      <c r="L136" s="40"/>
      <c r="M136" s="0"/>
      <c r="N136" s="41"/>
      <c r="O136" s="12"/>
      <c r="P136" s="12"/>
      <c r="Q136" s="12"/>
      <c r="R136" s="12"/>
      <c r="S136" s="12"/>
      <c r="T136" s="12"/>
      <c r="U136" s="12"/>
      <c r="V136" s="12"/>
      <c r="W136" s="40"/>
    </row>
    <row r="137" customFormat="false" ht="13.8" hidden="false" customHeight="false" outlineLevel="0" collapsed="false">
      <c r="B137" s="12"/>
      <c r="C137" s="12"/>
      <c r="D137" s="12"/>
      <c r="E137" s="12"/>
      <c r="F137" s="12"/>
      <c r="G137" s="41"/>
      <c r="H137" s="0"/>
      <c r="I137" s="12" t="s">
        <v>28</v>
      </c>
      <c r="J137" s="12" t="n">
        <f aca="false">IF($M$35="DIV_3", 3, 0)</f>
        <v>3</v>
      </c>
      <c r="K137" s="0"/>
      <c r="L137" s="40"/>
      <c r="M137" s="0"/>
      <c r="N137" s="41" t="s">
        <v>117</v>
      </c>
      <c r="O137" s="12"/>
      <c r="P137" s="12"/>
      <c r="Q137" s="12"/>
      <c r="R137" s="12"/>
      <c r="S137" s="12"/>
      <c r="T137" s="12"/>
      <c r="U137" s="12"/>
      <c r="V137" s="12"/>
      <c r="W137" s="40"/>
    </row>
    <row r="138" customFormat="false" ht="13.8" hidden="false" customHeight="false" outlineLevel="0" collapsed="false">
      <c r="B138" s="12"/>
      <c r="C138" s="12"/>
      <c r="D138" s="12"/>
      <c r="E138" s="12"/>
      <c r="F138" s="12"/>
      <c r="G138" s="41"/>
      <c r="H138" s="0"/>
      <c r="I138" s="12" t="s">
        <v>71</v>
      </c>
      <c r="J138" s="12" t="n">
        <f aca="false">IF($M$35="DIV_4", 4, 0)</f>
        <v>0</v>
      </c>
      <c r="K138" s="0"/>
      <c r="L138" s="40"/>
      <c r="M138" s="0"/>
      <c r="N138" s="41"/>
      <c r="O138" s="12" t="s">
        <v>118</v>
      </c>
      <c r="P138" s="12"/>
      <c r="Q138" s="12"/>
      <c r="R138" s="12"/>
      <c r="S138" s="12"/>
      <c r="T138" s="12"/>
      <c r="U138" s="12"/>
      <c r="V138" s="12"/>
      <c r="W138" s="40"/>
    </row>
    <row r="139" customFormat="false" ht="13.8" hidden="false" customHeight="false" outlineLevel="0" collapsed="false">
      <c r="B139" s="12"/>
      <c r="C139" s="12"/>
      <c r="D139" s="12"/>
      <c r="E139" s="12"/>
      <c r="F139" s="12"/>
      <c r="G139" s="41"/>
      <c r="H139" s="0"/>
      <c r="I139" s="12" t="s">
        <v>73</v>
      </c>
      <c r="J139" s="12" t="n">
        <f aca="false">IF($M$35="DIV_5", 5, 0)</f>
        <v>0</v>
      </c>
      <c r="K139" s="0"/>
      <c r="L139" s="40"/>
      <c r="M139" s="0"/>
      <c r="N139" s="41"/>
      <c r="O139" s="12" t="s">
        <v>119</v>
      </c>
      <c r="P139" s="12"/>
      <c r="Q139" s="12"/>
      <c r="R139" s="12"/>
      <c r="S139" s="12"/>
      <c r="T139" s="12"/>
      <c r="U139" s="12"/>
      <c r="V139" s="12"/>
      <c r="W139" s="40"/>
    </row>
    <row r="140" customFormat="false" ht="13.8" hidden="false" customHeight="false" outlineLevel="0" collapsed="false">
      <c r="B140" s="12"/>
      <c r="C140" s="12"/>
      <c r="D140" s="12"/>
      <c r="E140" s="12"/>
      <c r="F140" s="12"/>
      <c r="G140" s="41"/>
      <c r="H140" s="0"/>
      <c r="I140" s="12" t="s">
        <v>75</v>
      </c>
      <c r="J140" s="12" t="n">
        <f aca="false">IF($M$35="DIV_6", 6, 0)</f>
        <v>0</v>
      </c>
      <c r="K140" s="0"/>
      <c r="L140" s="40"/>
      <c r="M140" s="0"/>
      <c r="N140" s="41"/>
      <c r="O140" s="12" t="s">
        <v>120</v>
      </c>
      <c r="P140" s="12"/>
      <c r="Q140" s="12"/>
      <c r="R140" s="12"/>
      <c r="S140" s="12"/>
      <c r="T140" s="12"/>
      <c r="U140" s="12"/>
      <c r="V140" s="12"/>
      <c r="W140" s="40"/>
    </row>
    <row r="141" customFormat="false" ht="13.8" hidden="false" customHeight="false" outlineLevel="0" collapsed="false">
      <c r="B141" s="12"/>
      <c r="C141" s="12"/>
      <c r="D141" s="12"/>
      <c r="E141" s="12"/>
      <c r="F141" s="12"/>
      <c r="G141" s="41"/>
      <c r="H141" s="0"/>
      <c r="I141" s="12" t="s">
        <v>76</v>
      </c>
      <c r="J141" s="12" t="n">
        <f aca="false">IF($M$35="DIV_10", 10, 0)</f>
        <v>0</v>
      </c>
      <c r="K141" s="0"/>
      <c r="L141" s="40"/>
      <c r="M141" s="0"/>
      <c r="N141" s="41"/>
      <c r="O141" s="12" t="s">
        <v>121</v>
      </c>
      <c r="P141" s="12"/>
      <c r="Q141" s="12"/>
      <c r="R141" s="12"/>
      <c r="S141" s="12"/>
      <c r="T141" s="12"/>
      <c r="U141" s="12"/>
      <c r="V141" s="12"/>
      <c r="W141" s="40"/>
    </row>
    <row r="142" customFormat="false" ht="13.8" hidden="false" customHeight="false" outlineLevel="0" collapsed="false">
      <c r="B142" s="12"/>
      <c r="C142" s="12"/>
      <c r="D142" s="12"/>
      <c r="E142" s="12"/>
      <c r="F142" s="12"/>
      <c r="G142" s="41"/>
      <c r="H142" s="0"/>
      <c r="I142" s="12" t="s">
        <v>78</v>
      </c>
      <c r="J142" s="12" t="n">
        <f aca="false">IF($M$35="DIV_12", 12, 0)</f>
        <v>0</v>
      </c>
      <c r="K142" s="0"/>
      <c r="L142" s="40"/>
      <c r="M142" s="0"/>
      <c r="N142" s="41"/>
      <c r="O142" s="12" t="s">
        <v>122</v>
      </c>
      <c r="P142" s="12"/>
      <c r="Q142" s="12"/>
      <c r="R142" s="12"/>
      <c r="S142" s="12"/>
      <c r="T142" s="12"/>
      <c r="U142" s="12"/>
      <c r="V142" s="12"/>
      <c r="W142" s="40"/>
    </row>
    <row r="143" customFormat="false" ht="13.8" hidden="false" customHeight="false" outlineLevel="0" collapsed="false">
      <c r="B143" s="12"/>
      <c r="C143" s="12"/>
      <c r="D143" s="12"/>
      <c r="E143" s="12"/>
      <c r="F143" s="12"/>
      <c r="G143" s="41"/>
      <c r="H143" s="0"/>
      <c r="I143" s="0"/>
      <c r="J143" s="1" t="n">
        <f aca="false">SUM(J135:J142)</f>
        <v>3</v>
      </c>
      <c r="K143" s="0"/>
      <c r="L143" s="40"/>
      <c r="M143" s="0"/>
      <c r="N143" s="41"/>
      <c r="O143" s="12" t="s">
        <v>123</v>
      </c>
      <c r="P143" s="12"/>
      <c r="Q143" s="12"/>
      <c r="R143" s="12"/>
      <c r="S143" s="12"/>
      <c r="T143" s="12"/>
      <c r="U143" s="12"/>
      <c r="V143" s="12"/>
      <c r="W143" s="40"/>
    </row>
    <row r="144" customFormat="false" ht="13.8" hidden="false" customHeight="false" outlineLevel="0" collapsed="false">
      <c r="B144" s="12"/>
      <c r="C144" s="12"/>
      <c r="D144" s="12"/>
      <c r="E144" s="12"/>
      <c r="F144" s="12"/>
      <c r="G144" s="41"/>
      <c r="H144" s="12"/>
      <c r="I144" s="12"/>
      <c r="J144" s="12"/>
      <c r="K144" s="12"/>
      <c r="L144" s="40"/>
      <c r="M144" s="0"/>
      <c r="N144" s="41"/>
      <c r="O144" s="12" t="s">
        <v>124</v>
      </c>
      <c r="P144" s="12"/>
      <c r="Q144" s="12"/>
      <c r="R144" s="12"/>
      <c r="S144" s="12"/>
      <c r="T144" s="12"/>
      <c r="U144" s="12"/>
      <c r="V144" s="12"/>
      <c r="W144" s="40"/>
    </row>
    <row r="145" customFormat="false" ht="13.8" hidden="false" customHeight="false" outlineLevel="0" collapsed="false">
      <c r="B145" s="12"/>
      <c r="C145" s="12"/>
      <c r="D145" s="12"/>
      <c r="E145" s="12"/>
      <c r="F145" s="12"/>
      <c r="G145" s="41"/>
      <c r="H145" s="14" t="s">
        <v>125</v>
      </c>
      <c r="I145" s="12" t="s">
        <v>26</v>
      </c>
      <c r="J145" s="12"/>
      <c r="K145" s="12"/>
      <c r="L145" s="40"/>
      <c r="M145" s="0"/>
      <c r="N145" s="41"/>
      <c r="O145" s="12" t="s">
        <v>126</v>
      </c>
      <c r="P145" s="12"/>
      <c r="Q145" s="12"/>
      <c r="R145" s="12"/>
      <c r="S145" s="12"/>
      <c r="T145" s="12"/>
      <c r="U145" s="12"/>
      <c r="V145" s="12"/>
      <c r="W145" s="40"/>
    </row>
    <row r="146" customFormat="false" ht="13.8" hidden="false" customHeight="false" outlineLevel="0" collapsed="false">
      <c r="B146" s="12"/>
      <c r="C146" s="12"/>
      <c r="D146" s="12"/>
      <c r="E146" s="12"/>
      <c r="F146" s="12"/>
      <c r="G146" s="41"/>
      <c r="H146" s="12"/>
      <c r="I146" s="12" t="s">
        <v>63</v>
      </c>
      <c r="J146" s="12"/>
      <c r="K146" s="12"/>
      <c r="L146" s="40"/>
      <c r="M146" s="0"/>
      <c r="N146" s="41"/>
      <c r="O146" s="12"/>
      <c r="P146" s="12"/>
      <c r="Q146" s="12"/>
      <c r="R146" s="12"/>
      <c r="S146" s="12"/>
      <c r="T146" s="12"/>
      <c r="U146" s="12"/>
      <c r="V146" s="12"/>
      <c r="W146" s="40"/>
    </row>
    <row r="147" customFormat="false" ht="13.8" hidden="false" customHeight="false" outlineLevel="0" collapsed="false">
      <c r="B147" s="12"/>
      <c r="C147" s="12"/>
      <c r="D147" s="12"/>
      <c r="E147" s="12"/>
      <c r="F147" s="12"/>
      <c r="G147" s="41"/>
      <c r="H147" s="12"/>
      <c r="I147" s="12"/>
      <c r="J147" s="12"/>
      <c r="K147" s="12"/>
      <c r="L147" s="40"/>
      <c r="M147" s="0"/>
      <c r="N147" s="41" t="s">
        <v>127</v>
      </c>
      <c r="O147" s="12"/>
      <c r="P147" s="12"/>
      <c r="Q147" s="12"/>
      <c r="R147" s="12"/>
      <c r="S147" s="12"/>
      <c r="T147" s="12"/>
      <c r="U147" s="12"/>
      <c r="V147" s="12"/>
      <c r="W147" s="40"/>
    </row>
    <row r="148" customFormat="false" ht="13.8" hidden="false" customHeight="false" outlineLevel="0" collapsed="false">
      <c r="B148" s="12"/>
      <c r="C148" s="12"/>
      <c r="D148" s="12"/>
      <c r="E148" s="12"/>
      <c r="F148" s="12"/>
      <c r="G148" s="41"/>
      <c r="H148" s="14" t="s">
        <v>33</v>
      </c>
      <c r="I148" s="12" t="s">
        <v>26</v>
      </c>
      <c r="J148" s="12"/>
      <c r="K148" s="12"/>
      <c r="L148" s="40"/>
      <c r="M148" s="0"/>
      <c r="N148" s="41"/>
      <c r="O148" s="12" t="s">
        <v>128</v>
      </c>
      <c r="P148" s="12"/>
      <c r="Q148" s="12"/>
      <c r="R148" s="12"/>
      <c r="S148" s="12"/>
      <c r="T148" s="12"/>
      <c r="U148" s="12"/>
      <c r="V148" s="12"/>
      <c r="W148" s="40"/>
    </row>
    <row r="149" customFormat="false" ht="13.8" hidden="false" customHeight="false" outlineLevel="0" collapsed="false">
      <c r="B149" s="12"/>
      <c r="C149" s="12"/>
      <c r="D149" s="12"/>
      <c r="E149" s="12"/>
      <c r="F149" s="12"/>
      <c r="G149" s="41"/>
      <c r="H149" s="12"/>
      <c r="I149" s="12" t="s">
        <v>63</v>
      </c>
      <c r="J149" s="12"/>
      <c r="K149" s="12"/>
      <c r="L149" s="40"/>
      <c r="M149" s="0"/>
      <c r="N149" s="41"/>
      <c r="O149" s="12" t="s">
        <v>129</v>
      </c>
      <c r="P149" s="12"/>
      <c r="Q149" s="12"/>
      <c r="R149" s="12"/>
      <c r="S149" s="12"/>
      <c r="T149" s="12"/>
      <c r="U149" s="12"/>
      <c r="V149" s="12"/>
      <c r="W149" s="40"/>
    </row>
    <row r="150" customFormat="false" ht="13.8" hidden="false" customHeight="false" outlineLevel="0" collapsed="false">
      <c r="B150" s="12"/>
      <c r="C150" s="12"/>
      <c r="D150" s="12"/>
      <c r="E150" s="12"/>
      <c r="F150" s="12"/>
      <c r="G150" s="41"/>
      <c r="H150" s="12"/>
      <c r="I150" s="12"/>
      <c r="J150" s="12"/>
      <c r="K150" s="12"/>
      <c r="L150" s="40"/>
      <c r="M150" s="0"/>
      <c r="N150" s="41"/>
      <c r="O150" s="12"/>
      <c r="P150" s="12"/>
      <c r="Q150" s="12"/>
      <c r="R150" s="12"/>
      <c r="S150" s="12"/>
      <c r="T150" s="12"/>
      <c r="U150" s="12"/>
      <c r="V150" s="12"/>
      <c r="W150" s="40"/>
    </row>
    <row r="151" customFormat="false" ht="13.8" hidden="false" customHeight="false" outlineLevel="0" collapsed="false">
      <c r="B151" s="12"/>
      <c r="C151" s="12"/>
      <c r="D151" s="12"/>
      <c r="E151" s="12"/>
      <c r="F151" s="12"/>
      <c r="G151" s="41"/>
      <c r="H151" s="14" t="s">
        <v>25</v>
      </c>
      <c r="I151" s="12" t="s">
        <v>26</v>
      </c>
      <c r="J151" s="12"/>
      <c r="K151" s="12"/>
      <c r="L151" s="40"/>
      <c r="M151" s="0"/>
      <c r="N151" s="41" t="s">
        <v>130</v>
      </c>
      <c r="O151" s="12"/>
      <c r="P151" s="12"/>
      <c r="Q151" s="12"/>
      <c r="R151" s="12"/>
      <c r="S151" s="12"/>
      <c r="T151" s="12"/>
      <c r="U151" s="12"/>
      <c r="V151" s="12"/>
      <c r="W151" s="40"/>
    </row>
    <row r="152" customFormat="false" ht="13.8" hidden="false" customHeight="false" outlineLevel="0" collapsed="false">
      <c r="B152" s="12"/>
      <c r="C152" s="12"/>
      <c r="D152" s="12"/>
      <c r="E152" s="12"/>
      <c r="F152" s="12"/>
      <c r="G152" s="41"/>
      <c r="H152" s="12"/>
      <c r="I152" s="12" t="s">
        <v>63</v>
      </c>
      <c r="J152" s="12"/>
      <c r="K152" s="12"/>
      <c r="L152" s="40"/>
      <c r="M152" s="0"/>
      <c r="N152" s="41"/>
      <c r="O152" s="12" t="s">
        <v>24</v>
      </c>
      <c r="P152" s="12"/>
      <c r="Q152" s="12"/>
      <c r="R152" s="12"/>
      <c r="S152" s="0"/>
      <c r="T152" s="12"/>
      <c r="U152" s="12"/>
      <c r="V152" s="12"/>
      <c r="W152" s="40"/>
    </row>
    <row r="153" customFormat="false" ht="13.8" hidden="false" customHeight="false" outlineLevel="0" collapsed="false">
      <c r="B153" s="12"/>
      <c r="C153" s="12"/>
      <c r="D153" s="12"/>
      <c r="E153" s="12"/>
      <c r="F153" s="12"/>
      <c r="G153" s="41"/>
      <c r="H153" s="12"/>
      <c r="I153" s="12"/>
      <c r="J153" s="12"/>
      <c r="K153" s="12"/>
      <c r="L153" s="40"/>
      <c r="M153" s="0"/>
      <c r="N153" s="41"/>
      <c r="O153" s="12" t="s">
        <v>131</v>
      </c>
      <c r="P153" s="12"/>
      <c r="Q153" s="12"/>
      <c r="R153" s="12"/>
      <c r="S153" s="12"/>
      <c r="T153" s="12"/>
      <c r="U153" s="12"/>
      <c r="V153" s="12"/>
      <c r="W153" s="40"/>
    </row>
    <row r="154" customFormat="false" ht="13.8" hidden="false" customHeight="false" outlineLevel="0" collapsed="false">
      <c r="B154" s="12"/>
      <c r="C154" s="12"/>
      <c r="D154" s="12"/>
      <c r="E154" s="12"/>
      <c r="F154" s="12"/>
      <c r="G154" s="41"/>
      <c r="H154" s="12" t="s">
        <v>31</v>
      </c>
      <c r="I154" s="12" t="s">
        <v>67</v>
      </c>
      <c r="J154" s="12" t="n">
        <f aca="false">IF($Q$45="DIV_1", 1, 0)</f>
        <v>0</v>
      </c>
      <c r="K154" s="12"/>
      <c r="L154" s="40"/>
      <c r="M154" s="0"/>
      <c r="N154" s="41"/>
      <c r="O154" s="12"/>
      <c r="P154" s="12"/>
      <c r="Q154" s="12"/>
      <c r="R154" s="12"/>
      <c r="S154" s="12"/>
      <c r="T154" s="12"/>
      <c r="U154" s="12"/>
      <c r="V154" s="12"/>
      <c r="W154" s="40"/>
    </row>
    <row r="155" customFormat="false" ht="13.8" hidden="false" customHeight="false" outlineLevel="0" collapsed="false">
      <c r="B155" s="12"/>
      <c r="C155" s="12"/>
      <c r="D155" s="12"/>
      <c r="E155" s="12"/>
      <c r="F155" s="12"/>
      <c r="G155" s="41"/>
      <c r="H155" s="12"/>
      <c r="I155" s="12" t="s">
        <v>11</v>
      </c>
      <c r="J155" s="12" t="n">
        <f aca="false">IF($Q$45="DIV_2", 2, 0)</f>
        <v>2</v>
      </c>
      <c r="K155" s="12"/>
      <c r="L155" s="40"/>
      <c r="M155" s="0"/>
      <c r="N155" s="41" t="s">
        <v>132</v>
      </c>
      <c r="O155" s="12"/>
      <c r="P155" s="12"/>
      <c r="Q155" s="12"/>
      <c r="R155" s="12"/>
      <c r="S155" s="12"/>
      <c r="T155" s="12"/>
      <c r="U155" s="12"/>
      <c r="V155" s="12"/>
      <c r="W155" s="40"/>
    </row>
    <row r="156" customFormat="false" ht="13.8" hidden="false" customHeight="false" outlineLevel="0" collapsed="false">
      <c r="B156" s="12"/>
      <c r="C156" s="12"/>
      <c r="D156" s="12"/>
      <c r="E156" s="12"/>
      <c r="F156" s="12"/>
      <c r="G156" s="41"/>
      <c r="H156" s="12"/>
      <c r="I156" s="12" t="s">
        <v>71</v>
      </c>
      <c r="J156" s="12" t="n">
        <f aca="false">IF($Q$45="DIV_4", 4, 0)</f>
        <v>0</v>
      </c>
      <c r="K156" s="12"/>
      <c r="L156" s="40"/>
      <c r="M156" s="0"/>
      <c r="N156" s="41"/>
      <c r="O156" s="12" t="s">
        <v>133</v>
      </c>
      <c r="P156" s="12"/>
      <c r="Q156" s="12"/>
      <c r="R156" s="12"/>
      <c r="S156" s="12"/>
      <c r="T156" s="12"/>
      <c r="U156" s="12"/>
      <c r="V156" s="12"/>
      <c r="W156" s="40"/>
    </row>
    <row r="157" customFormat="false" ht="13.8" hidden="false" customHeight="false" outlineLevel="0" collapsed="false">
      <c r="B157" s="12"/>
      <c r="C157" s="12"/>
      <c r="D157" s="12"/>
      <c r="E157" s="12"/>
      <c r="F157" s="12"/>
      <c r="G157" s="41"/>
      <c r="H157" s="12"/>
      <c r="I157" s="12" t="s">
        <v>95</v>
      </c>
      <c r="J157" s="12" t="n">
        <f aca="false">IF($Q$45="DIV_8", 8, 0)</f>
        <v>0</v>
      </c>
      <c r="K157" s="12"/>
      <c r="L157" s="40"/>
      <c r="M157" s="0"/>
      <c r="N157" s="41"/>
      <c r="O157" s="12" t="s">
        <v>134</v>
      </c>
      <c r="P157" s="12"/>
      <c r="Q157" s="12"/>
      <c r="R157" s="12"/>
      <c r="S157" s="12"/>
      <c r="T157" s="12"/>
      <c r="U157" s="12"/>
      <c r="V157" s="12"/>
      <c r="W157" s="40"/>
    </row>
    <row r="158" customFormat="false" ht="14.4" hidden="false" customHeight="false" outlineLevel="0" collapsed="false">
      <c r="B158" s="12"/>
      <c r="C158" s="12"/>
      <c r="D158" s="12"/>
      <c r="E158" s="12"/>
      <c r="F158" s="12"/>
      <c r="G158" s="37"/>
      <c r="H158" s="38"/>
      <c r="I158" s="38"/>
      <c r="J158" s="38" t="n">
        <f aca="false">SUM(J154:J157)</f>
        <v>2</v>
      </c>
      <c r="K158" s="38"/>
      <c r="L158" s="39"/>
      <c r="M158" s="0"/>
      <c r="N158" s="41"/>
      <c r="O158" s="12"/>
      <c r="P158" s="12"/>
      <c r="Q158" s="12"/>
      <c r="R158" s="12"/>
      <c r="S158" s="12"/>
      <c r="T158" s="12"/>
      <c r="U158" s="12"/>
      <c r="V158" s="12"/>
      <c r="W158" s="40"/>
    </row>
    <row r="159" customFormat="false" ht="13.8" hidden="false" customHeight="false" outlineLevel="0" collapsed="false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0"/>
      <c r="N159" s="41" t="s">
        <v>135</v>
      </c>
      <c r="O159" s="12"/>
      <c r="P159" s="12"/>
      <c r="Q159" s="12"/>
      <c r="R159" s="12"/>
      <c r="S159" s="12"/>
      <c r="T159" s="12"/>
      <c r="U159" s="12"/>
      <c r="V159" s="12"/>
      <c r="W159" s="40"/>
    </row>
    <row r="160" customFormat="false" ht="13.8" hidden="false" customHeight="false" outlineLevel="0" collapsed="false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0"/>
      <c r="N160" s="41"/>
      <c r="O160" s="12" t="s">
        <v>136</v>
      </c>
      <c r="P160" s="12"/>
      <c r="Q160" s="12"/>
      <c r="R160" s="12"/>
      <c r="S160" s="12"/>
      <c r="T160" s="12"/>
      <c r="U160" s="12"/>
      <c r="V160" s="12"/>
      <c r="W160" s="40"/>
    </row>
    <row r="161" customFormat="false" ht="13.8" hidden="false" customHeight="false" outlineLevel="0" collapsed="false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0"/>
      <c r="N161" s="41"/>
      <c r="O161" s="12" t="s">
        <v>137</v>
      </c>
      <c r="P161" s="12"/>
      <c r="Q161" s="12"/>
      <c r="R161" s="12"/>
      <c r="S161" s="12"/>
      <c r="T161" s="12"/>
      <c r="U161" s="12"/>
      <c r="V161" s="12"/>
      <c r="W161" s="40"/>
    </row>
    <row r="162" customFormat="false" ht="13.8" hidden="false" customHeight="false" outlineLevel="0" collapsed="false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0"/>
      <c r="N162" s="41"/>
      <c r="O162" s="12" t="s">
        <v>138</v>
      </c>
      <c r="P162" s="12"/>
      <c r="Q162" s="12"/>
      <c r="R162" s="12"/>
      <c r="S162" s="12"/>
      <c r="T162" s="12"/>
      <c r="U162" s="12"/>
      <c r="V162" s="12"/>
      <c r="W162" s="40"/>
    </row>
    <row r="163" customFormat="false" ht="13.8" hidden="false" customHeight="false" outlineLevel="0" collapsed="false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0"/>
      <c r="N163" s="41"/>
      <c r="O163" s="12" t="s">
        <v>139</v>
      </c>
      <c r="P163" s="12"/>
      <c r="Q163" s="12"/>
      <c r="R163" s="12"/>
      <c r="S163" s="12"/>
      <c r="T163" s="12"/>
      <c r="U163" s="12"/>
      <c r="V163" s="12"/>
      <c r="W163" s="40"/>
    </row>
    <row r="164" customFormat="false" ht="13.8" hidden="false" customHeight="false" outlineLevel="0" collapsed="false">
      <c r="B164" s="12"/>
      <c r="C164" s="12"/>
      <c r="D164" s="12"/>
      <c r="E164" s="12"/>
      <c r="F164" s="12"/>
      <c r="G164" s="12"/>
      <c r="H164" s="14"/>
      <c r="I164" s="12"/>
      <c r="J164" s="12"/>
      <c r="K164" s="12"/>
      <c r="L164" s="12"/>
      <c r="M164" s="0"/>
      <c r="N164" s="41"/>
      <c r="O164" s="12" t="s">
        <v>140</v>
      </c>
      <c r="P164" s="12"/>
      <c r="Q164" s="12"/>
      <c r="R164" s="12"/>
      <c r="S164" s="12"/>
      <c r="T164" s="12"/>
      <c r="U164" s="12"/>
      <c r="V164" s="12"/>
      <c r="W164" s="40"/>
    </row>
    <row r="165" customFormat="false" ht="13.8" hidden="false" customHeight="false" outlineLevel="0" collapsed="false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0"/>
      <c r="N165" s="41"/>
      <c r="O165" s="12" t="s">
        <v>141</v>
      </c>
      <c r="P165" s="12"/>
      <c r="Q165" s="12"/>
      <c r="R165" s="12"/>
      <c r="S165" s="12"/>
      <c r="T165" s="12"/>
      <c r="U165" s="12"/>
      <c r="V165" s="12"/>
      <c r="W165" s="40"/>
    </row>
    <row r="166" customFormat="false" ht="13.8" hidden="false" customHeight="false" outlineLevel="0" collapsed="false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0"/>
      <c r="N166" s="41"/>
      <c r="O166" s="12" t="s">
        <v>142</v>
      </c>
      <c r="P166" s="12"/>
      <c r="Q166" s="12"/>
      <c r="R166" s="12"/>
      <c r="S166" s="12"/>
      <c r="T166" s="12"/>
      <c r="U166" s="12"/>
      <c r="V166" s="12"/>
      <c r="W166" s="40"/>
    </row>
    <row r="167" customFormat="false" ht="13.8" hidden="false" customHeight="false" outlineLevel="0" collapsed="false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0"/>
      <c r="N167" s="41"/>
      <c r="O167" s="12" t="s">
        <v>143</v>
      </c>
      <c r="P167" s="12"/>
      <c r="Q167" s="12"/>
      <c r="R167" s="12"/>
      <c r="S167" s="12"/>
      <c r="T167" s="12"/>
      <c r="U167" s="12"/>
      <c r="V167" s="12"/>
      <c r="W167" s="40"/>
    </row>
    <row r="168" customFormat="false" ht="13.8" hidden="false" customHeight="false" outlineLevel="0" collapsed="false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0"/>
      <c r="N168" s="41"/>
      <c r="O168" s="12"/>
      <c r="P168" s="12"/>
      <c r="Q168" s="12"/>
      <c r="R168" s="12"/>
      <c r="S168" s="12"/>
      <c r="T168" s="12"/>
      <c r="U168" s="12"/>
      <c r="V168" s="12"/>
      <c r="W168" s="40"/>
    </row>
    <row r="169" customFormat="false" ht="13.8" hidden="false" customHeight="false" outlineLevel="0" collapsed="false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0"/>
      <c r="N169" s="41" t="s">
        <v>144</v>
      </c>
      <c r="O169" s="12"/>
      <c r="P169" s="12"/>
      <c r="Q169" s="12"/>
      <c r="R169" s="12"/>
      <c r="S169" s="12"/>
      <c r="T169" s="12"/>
      <c r="U169" s="12"/>
      <c r="V169" s="12"/>
      <c r="W169" s="40"/>
    </row>
    <row r="170" customFormat="false" ht="13.8" hidden="false" customHeight="false" outlineLevel="0" collapsed="false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0"/>
      <c r="N170" s="41"/>
      <c r="O170" s="12" t="n">
        <v>15</v>
      </c>
      <c r="P170" s="12"/>
      <c r="Q170" s="12"/>
      <c r="R170" s="12"/>
      <c r="S170" s="12"/>
      <c r="T170" s="12"/>
      <c r="U170" s="12"/>
      <c r="V170" s="12"/>
      <c r="W170" s="40"/>
    </row>
    <row r="171" customFormat="false" ht="13.8" hidden="false" customHeight="false" outlineLevel="0" collapsed="false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0"/>
      <c r="N171" s="41"/>
      <c r="O171" s="12" t="n">
        <v>16</v>
      </c>
      <c r="P171" s="12"/>
      <c r="Q171" s="12"/>
      <c r="R171" s="12"/>
      <c r="S171" s="12"/>
      <c r="T171" s="12"/>
      <c r="U171" s="12"/>
      <c r="V171" s="12"/>
      <c r="W171" s="40"/>
    </row>
    <row r="172" customFormat="false" ht="13.8" hidden="false" customHeight="false" outlineLevel="0" collapsed="false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0"/>
      <c r="N172" s="41"/>
      <c r="O172" s="14" t="n">
        <v>17</v>
      </c>
      <c r="P172" s="12"/>
      <c r="Q172" s="12"/>
      <c r="R172" s="12"/>
      <c r="S172" s="12"/>
      <c r="T172" s="12"/>
      <c r="U172" s="12"/>
      <c r="V172" s="12"/>
      <c r="W172" s="40"/>
    </row>
    <row r="173" customFormat="false" ht="13.8" hidden="false" customHeight="false" outlineLevel="0" collapsed="false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0"/>
      <c r="N173" s="41"/>
      <c r="O173" s="12" t="n">
        <v>18</v>
      </c>
      <c r="P173" s="12"/>
      <c r="Q173" s="12"/>
      <c r="R173" s="12"/>
      <c r="S173" s="12"/>
      <c r="T173" s="12"/>
      <c r="U173" s="12"/>
      <c r="V173" s="12"/>
      <c r="W173" s="40"/>
    </row>
    <row r="174" customFormat="false" ht="13.8" hidden="false" customHeight="false" outlineLevel="0" collapsed="false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0"/>
      <c r="N174" s="41"/>
      <c r="O174" s="12" t="n">
        <v>19</v>
      </c>
      <c r="P174" s="12"/>
      <c r="Q174" s="12"/>
      <c r="R174" s="12"/>
      <c r="S174" s="12"/>
      <c r="T174" s="12"/>
      <c r="U174" s="12"/>
      <c r="V174" s="12"/>
      <c r="W174" s="40"/>
    </row>
    <row r="175" customFormat="false" ht="13.8" hidden="false" customHeight="false" outlineLevel="0" collapsed="false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0"/>
      <c r="N175" s="41"/>
      <c r="O175" s="12" t="n">
        <v>20</v>
      </c>
      <c r="P175" s="12"/>
      <c r="Q175" s="12"/>
      <c r="R175" s="12"/>
      <c r="S175" s="12"/>
      <c r="T175" s="12"/>
      <c r="U175" s="12"/>
      <c r="V175" s="12"/>
      <c r="W175" s="40"/>
    </row>
    <row r="176" customFormat="false" ht="13.8" hidden="false" customHeight="false" outlineLevel="0" collapsed="false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0"/>
      <c r="N176" s="41"/>
      <c r="O176" s="12" t="n">
        <v>21</v>
      </c>
      <c r="P176" s="12"/>
      <c r="Q176" s="12"/>
      <c r="R176" s="12"/>
      <c r="S176" s="12"/>
      <c r="T176" s="12"/>
      <c r="U176" s="12"/>
      <c r="V176" s="12"/>
      <c r="W176" s="40"/>
    </row>
    <row r="177" customFormat="false" ht="13.8" hidden="false" customHeight="false" outlineLevel="0" collapsed="false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0"/>
      <c r="N177" s="41"/>
      <c r="O177" s="12" t="n">
        <v>24</v>
      </c>
      <c r="P177" s="12"/>
      <c r="Q177" s="12"/>
      <c r="R177" s="12"/>
      <c r="S177" s="12"/>
      <c r="T177" s="12"/>
      <c r="U177" s="12"/>
      <c r="V177" s="12"/>
      <c r="W177" s="40"/>
    </row>
    <row r="178" customFormat="false" ht="13.8" hidden="false" customHeight="false" outlineLevel="0" collapsed="false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0"/>
      <c r="N178" s="41"/>
      <c r="O178" s="12"/>
      <c r="P178" s="12"/>
      <c r="Q178" s="12"/>
      <c r="R178" s="12"/>
      <c r="S178" s="12"/>
      <c r="T178" s="12"/>
      <c r="U178" s="12"/>
      <c r="V178" s="12"/>
      <c r="W178" s="40"/>
    </row>
    <row r="179" customFormat="false" ht="13.8" hidden="false" customHeight="false" outlineLevel="0" collapsed="false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0"/>
      <c r="N179" s="41" t="s">
        <v>145</v>
      </c>
      <c r="O179" s="12"/>
      <c r="P179" s="12"/>
      <c r="Q179" s="12"/>
      <c r="R179" s="12"/>
      <c r="S179" s="12"/>
      <c r="T179" s="12"/>
      <c r="U179" s="12"/>
      <c r="V179" s="12"/>
      <c r="W179" s="40"/>
    </row>
    <row r="180" customFormat="false" ht="13.8" hidden="false" customHeight="false" outlineLevel="0" collapsed="false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0"/>
      <c r="N180" s="41"/>
      <c r="O180" s="12" t="s">
        <v>146</v>
      </c>
      <c r="P180" s="12"/>
      <c r="Q180" s="12"/>
      <c r="R180" s="12"/>
      <c r="S180" s="12"/>
      <c r="T180" s="12"/>
      <c r="U180" s="12"/>
      <c r="V180" s="12"/>
      <c r="W180" s="40"/>
    </row>
    <row r="181" customFormat="false" ht="13.8" hidden="false" customHeight="false" outlineLevel="0" collapsed="false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0"/>
      <c r="N181" s="41"/>
      <c r="O181" s="12" t="s">
        <v>147</v>
      </c>
      <c r="P181" s="12"/>
      <c r="Q181" s="12"/>
      <c r="R181" s="12"/>
      <c r="S181" s="12"/>
      <c r="T181" s="12"/>
      <c r="U181" s="12"/>
      <c r="V181" s="12"/>
      <c r="W181" s="40"/>
    </row>
    <row r="182" customFormat="false" ht="13.8" hidden="false" customHeight="false" outlineLevel="0" collapsed="false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0"/>
      <c r="N182" s="41"/>
      <c r="O182" s="12" t="s">
        <v>148</v>
      </c>
      <c r="P182" s="12"/>
      <c r="Q182" s="12"/>
      <c r="R182" s="12"/>
      <c r="S182" s="12"/>
      <c r="T182" s="12"/>
      <c r="U182" s="12"/>
      <c r="V182" s="12"/>
      <c r="W182" s="40"/>
    </row>
    <row r="183" customFormat="false" ht="13.8" hidden="false" customHeight="false" outlineLevel="0" collapsed="false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0"/>
      <c r="N183" s="41"/>
      <c r="O183" s="12" t="s">
        <v>149</v>
      </c>
      <c r="P183" s="12"/>
      <c r="Q183" s="12"/>
      <c r="R183" s="12"/>
      <c r="S183" s="12"/>
      <c r="T183" s="12"/>
      <c r="U183" s="12"/>
      <c r="V183" s="12"/>
      <c r="W183" s="40"/>
    </row>
    <row r="184" customFormat="false" ht="13.8" hidden="false" customHeight="false" outlineLevel="0" collapsed="false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0"/>
      <c r="N184" s="41"/>
      <c r="O184" s="12" t="s">
        <v>150</v>
      </c>
      <c r="P184" s="12"/>
      <c r="Q184" s="12"/>
      <c r="R184" s="12"/>
      <c r="S184" s="12"/>
      <c r="T184" s="12"/>
      <c r="U184" s="12"/>
      <c r="V184" s="12"/>
      <c r="W184" s="40"/>
    </row>
    <row r="185" customFormat="false" ht="13.8" hidden="false" customHeight="false" outlineLevel="0" collapsed="false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0"/>
      <c r="N185" s="41"/>
      <c r="O185" s="12" t="s">
        <v>151</v>
      </c>
      <c r="P185" s="12"/>
      <c r="Q185" s="12"/>
      <c r="R185" s="12"/>
      <c r="S185" s="12"/>
      <c r="T185" s="12"/>
      <c r="U185" s="12"/>
      <c r="V185" s="12"/>
      <c r="W185" s="40"/>
    </row>
    <row r="186" customFormat="false" ht="13.8" hidden="false" customHeight="false" outlineLevel="0" collapsed="false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0"/>
      <c r="N186" s="41"/>
      <c r="O186" s="12" t="s">
        <v>152</v>
      </c>
      <c r="P186" s="12"/>
      <c r="Q186" s="12"/>
      <c r="R186" s="12"/>
      <c r="S186" s="12"/>
      <c r="T186" s="12"/>
      <c r="U186" s="12"/>
      <c r="V186" s="12"/>
      <c r="W186" s="40"/>
    </row>
    <row r="187" customFormat="false" ht="13.8" hidden="false" customHeight="false" outlineLevel="0" collapsed="false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0"/>
      <c r="N187" s="41"/>
      <c r="O187" s="12" t="s">
        <v>153</v>
      </c>
      <c r="P187" s="12"/>
      <c r="Q187" s="12"/>
      <c r="R187" s="12"/>
      <c r="S187" s="12"/>
      <c r="T187" s="12"/>
      <c r="U187" s="12"/>
      <c r="V187" s="12"/>
      <c r="W187" s="40"/>
    </row>
    <row r="188" customFormat="false" ht="13.8" hidden="false" customHeight="false" outlineLevel="0" collapsed="false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0"/>
      <c r="N188" s="41"/>
      <c r="O188" s="12"/>
      <c r="P188" s="12"/>
      <c r="Q188" s="12"/>
      <c r="R188" s="12"/>
      <c r="S188" s="12"/>
      <c r="T188" s="12"/>
      <c r="U188" s="12"/>
      <c r="V188" s="12"/>
      <c r="W188" s="40"/>
    </row>
    <row r="189" customFormat="false" ht="13.8" hidden="false" customHeight="false" outlineLevel="0" collapsed="false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0"/>
      <c r="N189" s="41" t="s">
        <v>154</v>
      </c>
      <c r="O189" s="12"/>
      <c r="P189" s="12"/>
      <c r="Q189" s="12"/>
      <c r="R189" s="12"/>
      <c r="S189" s="12"/>
      <c r="T189" s="12"/>
      <c r="U189" s="12"/>
      <c r="V189" s="12"/>
      <c r="W189" s="40"/>
    </row>
    <row r="190" customFormat="false" ht="13.8" hidden="false" customHeight="false" outlineLevel="0" collapsed="false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0"/>
      <c r="N190" s="41"/>
      <c r="O190" s="12" t="s">
        <v>155</v>
      </c>
      <c r="P190" s="12"/>
      <c r="Q190" s="12"/>
      <c r="R190" s="12"/>
      <c r="S190" s="12"/>
      <c r="T190" s="12" t="n">
        <f aca="false">$M$59</f>
        <v>8</v>
      </c>
      <c r="U190" s="12" t="n">
        <f aca="false">IF($O$79=O190, T190, 0)</f>
        <v>0</v>
      </c>
      <c r="V190" s="12"/>
      <c r="W190" s="40"/>
    </row>
    <row r="191" customFormat="false" ht="13.8" hidden="false" customHeight="false" outlineLevel="0" collapsed="false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0"/>
      <c r="N191" s="41"/>
      <c r="O191" s="12" t="s">
        <v>54</v>
      </c>
      <c r="P191" s="12"/>
      <c r="Q191" s="12"/>
      <c r="R191" s="12"/>
      <c r="S191" s="12"/>
      <c r="T191" s="12" t="n">
        <f aca="false">$M$61</f>
        <v>80</v>
      </c>
      <c r="U191" s="12" t="n">
        <f aca="false">IF($O$79=O191, T191, 0)</f>
        <v>80</v>
      </c>
      <c r="V191" s="12"/>
      <c r="W191" s="40"/>
    </row>
    <row r="192" customFormat="false" ht="13.8" hidden="false" customHeight="false" outlineLevel="0" collapsed="false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0"/>
      <c r="N192" s="41"/>
      <c r="O192" s="12" t="s">
        <v>156</v>
      </c>
      <c r="P192" s="12"/>
      <c r="Q192" s="12"/>
      <c r="R192" s="12"/>
      <c r="S192" s="12"/>
      <c r="T192" s="12" t="n">
        <f aca="false">$M$63</f>
        <v>12</v>
      </c>
      <c r="U192" s="12" t="n">
        <f aca="false">IF($O$79=O192, T192, 0)</f>
        <v>0</v>
      </c>
      <c r="V192" s="12"/>
      <c r="W192" s="40"/>
    </row>
    <row r="193" customFormat="false" ht="13.8" hidden="false" customHeight="false" outlineLevel="0" collapsed="false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0"/>
      <c r="N193" s="41"/>
      <c r="O193" s="12" t="s">
        <v>157</v>
      </c>
      <c r="P193" s="12"/>
      <c r="Q193" s="12"/>
      <c r="R193" s="12"/>
      <c r="S193" s="12"/>
      <c r="T193" s="12" t="n">
        <f aca="false">$M$65</f>
        <v>96</v>
      </c>
      <c r="U193" s="12" t="n">
        <f aca="false">IF($O$79=O193, T193, 0)</f>
        <v>0</v>
      </c>
      <c r="V193" s="12"/>
      <c r="W193" s="40"/>
    </row>
    <row r="194" customFormat="false" ht="13.8" hidden="false" customHeight="false" outlineLevel="0" collapsed="false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0"/>
      <c r="N194" s="41"/>
      <c r="O194" s="12" t="s">
        <v>158</v>
      </c>
      <c r="P194" s="12"/>
      <c r="Q194" s="12"/>
      <c r="R194" s="12"/>
      <c r="S194" s="12"/>
      <c r="T194" s="12" t="n">
        <f aca="false">$M$67 * 0.001</f>
        <v>0.03125</v>
      </c>
      <c r="U194" s="12" t="n">
        <f aca="false">IF($O$79=O194, T194, 0)</f>
        <v>0</v>
      </c>
      <c r="V194" s="12"/>
      <c r="W194" s="40"/>
    </row>
    <row r="195" customFormat="false" ht="13.8" hidden="false" customHeight="false" outlineLevel="0" collapsed="false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0"/>
      <c r="N195" s="41"/>
      <c r="O195" s="12" t="s">
        <v>159</v>
      </c>
      <c r="P195" s="12"/>
      <c r="Q195" s="12"/>
      <c r="R195" s="12"/>
      <c r="S195" s="12"/>
      <c r="T195" s="46" t="n">
        <f aca="false">$M$69 * 0.001</f>
        <v>0.032768</v>
      </c>
      <c r="U195" s="12" t="n">
        <f aca="false">IF($O$79=O195, T195, 0)</f>
        <v>0</v>
      </c>
      <c r="V195" s="12"/>
      <c r="W195" s="40"/>
    </row>
    <row r="196" customFormat="false" ht="13.8" hidden="false" customHeight="false" outlineLevel="0" collapsed="false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0"/>
      <c r="N196" s="41"/>
      <c r="O196" s="12" t="s">
        <v>160</v>
      </c>
      <c r="P196" s="12"/>
      <c r="Q196" s="12"/>
      <c r="R196" s="12"/>
      <c r="S196" s="12"/>
      <c r="T196" s="12" t="n">
        <f aca="false">$M$71</f>
        <v>20</v>
      </c>
      <c r="U196" s="12" t="n">
        <f aca="false">IF($O$79=O196, T196, 0)</f>
        <v>0</v>
      </c>
      <c r="V196" s="12"/>
      <c r="W196" s="40"/>
    </row>
    <row r="197" customFormat="false" ht="13.8" hidden="false" customHeight="false" outlineLevel="0" collapsed="false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0"/>
      <c r="N197" s="41"/>
      <c r="O197" s="12" t="s">
        <v>161</v>
      </c>
      <c r="P197" s="12"/>
      <c r="Q197" s="12"/>
      <c r="R197" s="12"/>
      <c r="S197" s="12"/>
      <c r="T197" s="12" t="n">
        <f aca="false">$M$73</f>
        <v>40</v>
      </c>
      <c r="U197" s="12" t="n">
        <f aca="false">IF($O$79=O197, T197, 0)</f>
        <v>0</v>
      </c>
      <c r="V197" s="12"/>
      <c r="W197" s="40"/>
    </row>
    <row r="198" customFormat="false" ht="13.8" hidden="false" customHeight="false" outlineLevel="0" collapsed="false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0"/>
      <c r="N198" s="41"/>
      <c r="O198" s="12" t="s">
        <v>162</v>
      </c>
      <c r="P198" s="12"/>
      <c r="Q198" s="12"/>
      <c r="R198" s="12"/>
      <c r="S198" s="12"/>
      <c r="T198" s="12" t="n">
        <f aca="false">$M$75</f>
        <v>2</v>
      </c>
      <c r="U198" s="12" t="n">
        <f aca="false">IF($O$79=O198, T198, 0)</f>
        <v>0</v>
      </c>
      <c r="V198" s="12"/>
      <c r="W198" s="40"/>
    </row>
    <row r="199" customFormat="false" ht="13.8" hidden="false" customHeight="false" outlineLevel="0" collapsed="false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0"/>
      <c r="N199" s="41"/>
      <c r="O199" s="12"/>
      <c r="P199" s="12"/>
      <c r="Q199" s="12"/>
      <c r="R199" s="12"/>
      <c r="S199" s="12"/>
      <c r="T199" s="12"/>
      <c r="U199" s="12" t="n">
        <f aca="false">SUM(U190:U198)</f>
        <v>80</v>
      </c>
      <c r="V199" s="12"/>
      <c r="W199" s="40"/>
    </row>
    <row r="200" customFormat="false" ht="13.8" hidden="false" customHeight="false" outlineLevel="0" collapsed="false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0"/>
      <c r="N200" s="41"/>
      <c r="O200" s="12"/>
      <c r="P200" s="12"/>
      <c r="Q200" s="12"/>
      <c r="R200" s="12"/>
      <c r="S200" s="12"/>
      <c r="T200" s="12"/>
      <c r="U200" s="12"/>
      <c r="V200" s="12"/>
      <c r="W200" s="40"/>
    </row>
    <row r="201" customFormat="false" ht="13.8" hidden="false" customHeight="false" outlineLevel="0" collapsed="false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0"/>
      <c r="N201" s="41" t="s">
        <v>163</v>
      </c>
      <c r="O201" s="12" t="s">
        <v>164</v>
      </c>
      <c r="P201" s="12"/>
      <c r="Q201" s="12"/>
      <c r="R201" s="12"/>
      <c r="S201" s="12"/>
      <c r="T201" s="12"/>
      <c r="U201" s="12"/>
      <c r="V201" s="12"/>
      <c r="W201" s="40"/>
    </row>
    <row r="202" customFormat="false" ht="13.8" hidden="false" customHeight="false" outlineLevel="0" collapsed="false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0"/>
      <c r="N202" s="41"/>
      <c r="O202" s="12" t="s">
        <v>165</v>
      </c>
      <c r="P202" s="12"/>
      <c r="Q202" s="12"/>
      <c r="R202" s="12"/>
      <c r="S202" s="12"/>
      <c r="T202" s="12" t="n">
        <v>1</v>
      </c>
      <c r="U202" s="12"/>
      <c r="V202" s="12"/>
      <c r="W202" s="40"/>
    </row>
    <row r="203" customFormat="false" ht="13.8" hidden="false" customHeight="false" outlineLevel="0" collapsed="false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0"/>
      <c r="N203" s="41"/>
      <c r="O203" s="12" t="s">
        <v>166</v>
      </c>
      <c r="P203" s="12"/>
      <c r="Q203" s="12"/>
      <c r="R203" s="12"/>
      <c r="S203" s="12"/>
      <c r="T203" s="12" t="n">
        <v>2</v>
      </c>
      <c r="U203" s="12"/>
      <c r="V203" s="12"/>
      <c r="W203" s="40"/>
    </row>
    <row r="204" customFormat="false" ht="13.8" hidden="false" customHeight="false" outlineLevel="0" collapsed="false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0"/>
      <c r="N204" s="41"/>
      <c r="O204" s="12" t="s">
        <v>167</v>
      </c>
      <c r="P204" s="12"/>
      <c r="Q204" s="12"/>
      <c r="R204" s="12"/>
      <c r="S204" s="12"/>
      <c r="T204" s="12" t="n">
        <v>4</v>
      </c>
      <c r="U204" s="12"/>
      <c r="V204" s="12"/>
      <c r="W204" s="40"/>
    </row>
    <row r="205" customFormat="false" ht="13.8" hidden="false" customHeight="false" outlineLevel="0" collapsed="false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0"/>
      <c r="N205" s="41"/>
      <c r="O205" s="12" t="s">
        <v>168</v>
      </c>
      <c r="P205" s="12"/>
      <c r="Q205" s="12"/>
      <c r="R205" s="12"/>
      <c r="S205" s="12"/>
      <c r="T205" s="12" t="n">
        <v>8</v>
      </c>
      <c r="U205" s="12"/>
      <c r="V205" s="12"/>
      <c r="W205" s="40"/>
    </row>
    <row r="206" customFormat="false" ht="13.8" hidden="false" customHeight="false" outlineLevel="0" collapsed="false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0"/>
      <c r="N206" s="41"/>
      <c r="O206" s="12" t="s">
        <v>169</v>
      </c>
      <c r="P206" s="12"/>
      <c r="Q206" s="12"/>
      <c r="R206" s="12"/>
      <c r="S206" s="12"/>
      <c r="T206" s="12" t="n">
        <v>16</v>
      </c>
      <c r="U206" s="12"/>
      <c r="V206" s="12"/>
      <c r="W206" s="40"/>
    </row>
    <row r="207" customFormat="false" ht="13.8" hidden="false" customHeight="false" outlineLevel="0" collapsed="false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0"/>
      <c r="N207" s="41"/>
      <c r="O207" s="12" t="s">
        <v>170</v>
      </c>
      <c r="P207" s="12"/>
      <c r="Q207" s="12"/>
      <c r="R207" s="12"/>
      <c r="S207" s="12"/>
      <c r="T207" s="12" t="n">
        <v>32</v>
      </c>
      <c r="U207" s="12"/>
      <c r="V207" s="12"/>
      <c r="W207" s="40"/>
    </row>
    <row r="208" customFormat="false" ht="13.8" hidden="false" customHeight="false" outlineLevel="0" collapsed="false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0"/>
      <c r="N208" s="41"/>
      <c r="O208" s="12" t="s">
        <v>171</v>
      </c>
      <c r="P208" s="12"/>
      <c r="Q208" s="12"/>
      <c r="R208" s="12"/>
      <c r="S208" s="12"/>
      <c r="T208" s="12" t="n">
        <v>64</v>
      </c>
      <c r="U208" s="12"/>
      <c r="V208" s="12"/>
      <c r="W208" s="40"/>
    </row>
    <row r="209" customFormat="false" ht="13.8" hidden="false" customHeight="false" outlineLevel="0" collapsed="false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0"/>
      <c r="N209" s="41"/>
      <c r="O209" s="12" t="s">
        <v>172</v>
      </c>
      <c r="P209" s="12"/>
      <c r="Q209" s="12"/>
      <c r="R209" s="12"/>
      <c r="S209" s="12"/>
      <c r="T209" s="12" t="n">
        <v>128</v>
      </c>
      <c r="U209" s="12"/>
      <c r="V209" s="12"/>
      <c r="W209" s="40"/>
    </row>
    <row r="210" customFormat="false" ht="13.8" hidden="false" customHeight="false" outlineLevel="0" collapsed="false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0"/>
      <c r="N210" s="41"/>
      <c r="O210" s="12" t="s">
        <v>173</v>
      </c>
      <c r="P210" s="12"/>
      <c r="Q210" s="12"/>
      <c r="R210" s="12"/>
      <c r="S210" s="12"/>
      <c r="T210" s="12" t="n">
        <v>256</v>
      </c>
      <c r="U210" s="12"/>
      <c r="V210" s="12"/>
      <c r="W210" s="40"/>
    </row>
    <row r="211" customFormat="false" ht="13.8" hidden="false" customHeight="false" outlineLevel="0" collapsed="false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0"/>
      <c r="N211" s="41"/>
      <c r="O211" s="12" t="s">
        <v>174</v>
      </c>
      <c r="P211" s="12"/>
      <c r="Q211" s="12"/>
      <c r="R211" s="12"/>
      <c r="S211" s="12"/>
      <c r="T211" s="12" t="n">
        <v>512</v>
      </c>
      <c r="U211" s="12"/>
      <c r="V211" s="12"/>
      <c r="W211" s="40"/>
    </row>
    <row r="212" customFormat="false" ht="13.8" hidden="false" customHeight="false" outlineLevel="0" collapsed="false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0"/>
      <c r="N212" s="41"/>
      <c r="O212" s="12" t="s">
        <v>175</v>
      </c>
      <c r="P212" s="12"/>
      <c r="Q212" s="12"/>
      <c r="R212" s="12"/>
      <c r="S212" s="12"/>
      <c r="T212" s="12" t="n">
        <v>1024</v>
      </c>
      <c r="U212" s="12"/>
      <c r="V212" s="12"/>
      <c r="W212" s="40"/>
    </row>
    <row r="213" customFormat="false" ht="13.8" hidden="false" customHeight="false" outlineLevel="0" collapsed="false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0"/>
      <c r="N213" s="41"/>
      <c r="O213" s="12" t="s">
        <v>176</v>
      </c>
      <c r="P213" s="12"/>
      <c r="Q213" s="12"/>
      <c r="R213" s="12"/>
      <c r="S213" s="12"/>
      <c r="T213" s="12" t="n">
        <v>2048</v>
      </c>
      <c r="U213" s="12"/>
      <c r="V213" s="12"/>
      <c r="W213" s="40"/>
    </row>
    <row r="214" customFormat="false" ht="13.8" hidden="false" customHeight="false" outlineLevel="0" collapsed="false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0"/>
      <c r="N214" s="41"/>
      <c r="O214" s="12" t="s">
        <v>177</v>
      </c>
      <c r="P214" s="12"/>
      <c r="Q214" s="12"/>
      <c r="R214" s="12"/>
      <c r="S214" s="12"/>
      <c r="T214" s="12" t="n">
        <v>4096</v>
      </c>
      <c r="U214" s="12"/>
      <c r="V214" s="12"/>
      <c r="W214" s="40"/>
    </row>
    <row r="215" customFormat="false" ht="13.8" hidden="false" customHeight="false" outlineLevel="0" collapsed="false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0"/>
      <c r="N215" s="41"/>
      <c r="O215" s="12" t="s">
        <v>178</v>
      </c>
      <c r="P215" s="12"/>
      <c r="Q215" s="12"/>
      <c r="R215" s="12"/>
      <c r="S215" s="12"/>
      <c r="T215" s="12" t="n">
        <v>8192</v>
      </c>
      <c r="U215" s="12"/>
      <c r="V215" s="12"/>
      <c r="W215" s="40"/>
    </row>
    <row r="216" customFormat="false" ht="13.8" hidden="false" customHeight="false" outlineLevel="0" collapsed="false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0"/>
      <c r="N216" s="41"/>
      <c r="O216" s="12" t="s">
        <v>179</v>
      </c>
      <c r="P216" s="12"/>
      <c r="Q216" s="12"/>
      <c r="R216" s="12"/>
      <c r="S216" s="12"/>
      <c r="T216" s="12" t="n">
        <v>16384</v>
      </c>
      <c r="U216" s="12"/>
      <c r="V216" s="12"/>
      <c r="W216" s="40"/>
    </row>
    <row r="217" customFormat="false" ht="13.8" hidden="false" customHeight="false" outlineLevel="0" collapsed="false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0"/>
      <c r="N217" s="41"/>
      <c r="O217" s="12" t="s">
        <v>180</v>
      </c>
      <c r="P217" s="12"/>
      <c r="Q217" s="12"/>
      <c r="R217" s="12"/>
      <c r="S217" s="12"/>
      <c r="T217" s="12" t="n">
        <v>32768</v>
      </c>
      <c r="U217" s="12"/>
      <c r="V217" s="12"/>
      <c r="W217" s="40"/>
    </row>
    <row r="218" customFormat="false" ht="13.8" hidden="false" customHeight="false" outlineLevel="0" collapsed="false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0"/>
      <c r="N218" s="41"/>
      <c r="O218" s="12"/>
      <c r="P218" s="12"/>
      <c r="Q218" s="12"/>
      <c r="R218" s="12"/>
      <c r="S218" s="12"/>
      <c r="T218" s="12"/>
      <c r="U218" s="12"/>
      <c r="V218" s="12"/>
      <c r="W218" s="40"/>
    </row>
    <row r="219" customFormat="false" ht="13.8" hidden="false" customHeight="false" outlineLevel="0" collapsed="false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0"/>
      <c r="N219" s="41" t="s">
        <v>181</v>
      </c>
      <c r="O219" s="12"/>
      <c r="P219" s="12"/>
      <c r="Q219" s="12"/>
      <c r="R219" s="12"/>
      <c r="S219" s="12"/>
      <c r="T219" s="12"/>
      <c r="U219" s="12"/>
      <c r="V219" s="12"/>
      <c r="W219" s="40"/>
    </row>
    <row r="220" customFormat="false" ht="13.8" hidden="false" customHeight="false" outlineLevel="0" collapsed="false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0"/>
      <c r="N220" s="41"/>
      <c r="O220" s="12" t="n">
        <v>1</v>
      </c>
      <c r="P220" s="12"/>
      <c r="Q220" s="0"/>
      <c r="R220" s="0"/>
      <c r="S220" s="14" t="s">
        <v>182</v>
      </c>
      <c r="T220" s="47" t="n">
        <f aca="false">Q66+($Q$65/512)</f>
        <v>28.34375</v>
      </c>
      <c r="U220" s="0"/>
      <c r="V220" s="12"/>
      <c r="W220" s="40"/>
    </row>
    <row r="221" customFormat="false" ht="13.8" hidden="false" customHeight="false" outlineLevel="0" collapsed="false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0"/>
      <c r="N221" s="41"/>
      <c r="O221" s="12" t="n">
        <v>2</v>
      </c>
      <c r="P221" s="12"/>
      <c r="Q221" s="12"/>
      <c r="R221" s="12"/>
      <c r="S221" s="12"/>
      <c r="T221" s="12"/>
      <c r="U221" s="12"/>
      <c r="V221" s="12"/>
      <c r="W221" s="40"/>
    </row>
    <row r="222" customFormat="false" ht="13.8" hidden="false" customHeight="false" outlineLevel="0" collapsed="false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0"/>
      <c r="N222" s="41"/>
      <c r="O222" s="14" t="s">
        <v>110</v>
      </c>
      <c r="P222" s="12"/>
      <c r="Q222" s="12"/>
      <c r="R222" s="12"/>
      <c r="S222" s="12"/>
      <c r="T222" s="0"/>
      <c r="U222" s="12"/>
      <c r="V222" s="12"/>
      <c r="W222" s="40"/>
    </row>
    <row r="223" customFormat="false" ht="14.4" hidden="false" customHeight="false" outlineLevel="0" collapsed="false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0"/>
      <c r="N223" s="37"/>
      <c r="O223" s="38" t="n">
        <v>512</v>
      </c>
      <c r="P223" s="38"/>
      <c r="Q223" s="38"/>
      <c r="R223" s="38"/>
      <c r="S223" s="38"/>
      <c r="T223" s="38"/>
      <c r="U223" s="38"/>
      <c r="V223" s="38"/>
      <c r="W223" s="39"/>
    </row>
    <row r="224" customFormat="false" ht="13.8" hidden="false" customHeight="false" outlineLevel="0" collapsed="false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0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customFormat="false" ht="13.8" hidden="false" customHeight="false" outlineLevel="0" collapsed="false">
      <c r="D225" s="0"/>
      <c r="E225" s="0"/>
      <c r="F225" s="0"/>
      <c r="G225" s="0"/>
      <c r="H225" s="0"/>
      <c r="I225" s="0"/>
      <c r="J225" s="0"/>
      <c r="K225" s="0"/>
      <c r="L225" s="0"/>
      <c r="M225" s="0"/>
      <c r="N225" s="0"/>
      <c r="O225" s="0"/>
      <c r="P225" s="0"/>
    </row>
    <row r="226" customFormat="false" ht="14.4" hidden="false" customHeight="false" outlineLevel="0" collapsed="false">
      <c r="D226" s="0"/>
      <c r="E226" s="0"/>
      <c r="F226" s="0"/>
      <c r="G226" s="0"/>
      <c r="H226" s="0"/>
      <c r="I226" s="0"/>
      <c r="J226" s="0"/>
      <c r="K226" s="0"/>
      <c r="L226" s="0"/>
      <c r="M226" s="0"/>
      <c r="N226" s="0"/>
      <c r="O226" s="0"/>
      <c r="P226" s="0"/>
    </row>
    <row r="227" customFormat="false" ht="13.8" hidden="false" customHeight="false" outlineLevel="0" collapsed="false">
      <c r="D227" s="31" t="s">
        <v>183</v>
      </c>
      <c r="E227" s="32"/>
      <c r="F227" s="32"/>
      <c r="G227" s="32"/>
      <c r="H227" s="32"/>
      <c r="I227" s="32"/>
      <c r="J227" s="32"/>
      <c r="K227" s="32"/>
      <c r="L227" s="32"/>
      <c r="M227" s="32"/>
      <c r="N227" s="33"/>
      <c r="O227" s="0"/>
      <c r="P227" s="0"/>
    </row>
    <row r="228" customFormat="false" ht="13.8" hidden="false" customHeight="false" outlineLevel="0" collapsed="false">
      <c r="D228" s="34"/>
      <c r="E228" s="35" t="s">
        <v>184</v>
      </c>
      <c r="F228" s="35"/>
      <c r="G228" s="35"/>
      <c r="H228" s="35"/>
      <c r="I228" s="35"/>
      <c r="J228" s="35"/>
      <c r="K228" s="35"/>
      <c r="L228" s="35"/>
      <c r="M228" s="35"/>
      <c r="N228" s="36"/>
      <c r="O228" s="0"/>
      <c r="P228" s="0"/>
    </row>
    <row r="229" customFormat="false" ht="13.8" hidden="false" customHeight="false" outlineLevel="0" collapsed="false">
      <c r="D229" s="41"/>
      <c r="E229" s="12" t="s">
        <v>185</v>
      </c>
      <c r="F229" s="12" t="n">
        <f aca="false">OR(AND(G35="ON", $I$30="HS"), AND(G35="ON", $I$30="XT"))</f>
        <v>0</v>
      </c>
      <c r="G229" s="12"/>
      <c r="H229" s="12" t="s">
        <v>186</v>
      </c>
      <c r="I229" s="12"/>
      <c r="J229" s="12"/>
      <c r="K229" s="12"/>
      <c r="L229" s="12"/>
      <c r="M229" s="12"/>
      <c r="N229" s="40"/>
      <c r="O229" s="0"/>
      <c r="P229" s="0"/>
    </row>
    <row r="230" customFormat="false" ht="13.8" hidden="false" customHeight="false" outlineLevel="0" collapsed="false">
      <c r="D230" s="41"/>
      <c r="E230" s="12"/>
      <c r="F230" s="12"/>
      <c r="G230" s="12"/>
      <c r="H230" s="12"/>
      <c r="I230" s="12"/>
      <c r="J230" s="12"/>
      <c r="K230" s="12"/>
      <c r="L230" s="12"/>
      <c r="M230" s="12"/>
      <c r="N230" s="40"/>
      <c r="O230" s="0"/>
      <c r="P230" s="0"/>
    </row>
    <row r="231" customFormat="false" ht="13.8" hidden="false" customHeight="false" outlineLevel="0" collapsed="false">
      <c r="D231" s="41"/>
      <c r="E231" s="12" t="s">
        <v>187</v>
      </c>
      <c r="F231" s="12" t="n">
        <f aca="false">IF($R$49&gt;100,1,0)</f>
        <v>0</v>
      </c>
      <c r="G231" s="12"/>
      <c r="H231" s="12" t="s">
        <v>188</v>
      </c>
      <c r="I231" s="12"/>
      <c r="J231" s="12"/>
      <c r="K231" s="12"/>
      <c r="L231" s="12"/>
      <c r="M231" s="12"/>
      <c r="N231" s="40"/>
      <c r="O231" s="0"/>
      <c r="P231" s="0"/>
    </row>
    <row r="232" customFormat="false" ht="13.8" hidden="false" customHeight="false" outlineLevel="0" collapsed="false">
      <c r="D232" s="41"/>
      <c r="E232" s="12"/>
      <c r="F232" s="12"/>
      <c r="G232" s="12"/>
      <c r="H232" s="12"/>
      <c r="I232" s="12"/>
      <c r="J232" s="12"/>
      <c r="K232" s="12"/>
      <c r="L232" s="12"/>
      <c r="M232" s="12"/>
      <c r="N232" s="40"/>
      <c r="O232" s="0"/>
      <c r="P232" s="0"/>
    </row>
    <row r="233" customFormat="false" ht="13.8" hidden="false" customHeight="false" outlineLevel="0" collapsed="false">
      <c r="D233" s="41"/>
      <c r="E233" s="12" t="s">
        <v>189</v>
      </c>
      <c r="F233" s="12" t="n">
        <f aca="false">IF($M$33&gt;4,1,0)</f>
        <v>0</v>
      </c>
      <c r="G233" s="12"/>
      <c r="H233" s="12" t="s">
        <v>190</v>
      </c>
      <c r="I233" s="12"/>
      <c r="J233" s="12"/>
      <c r="K233" s="12"/>
      <c r="L233" s="12"/>
      <c r="M233" s="12"/>
      <c r="N233" s="40"/>
      <c r="O233" s="0"/>
      <c r="P233" s="0"/>
    </row>
    <row r="234" customFormat="false" ht="13.8" hidden="false" customHeight="false" outlineLevel="0" collapsed="false">
      <c r="D234" s="41"/>
      <c r="E234" s="12" t="s">
        <v>189</v>
      </c>
      <c r="F234" s="12" t="n">
        <f aca="false">IF($M$33&lt;4,1,0)</f>
        <v>0</v>
      </c>
      <c r="G234" s="12"/>
      <c r="H234" s="12" t="s">
        <v>191</v>
      </c>
      <c r="I234" s="12"/>
      <c r="J234" s="12"/>
      <c r="K234" s="12"/>
      <c r="L234" s="12"/>
      <c r="M234" s="12"/>
      <c r="N234" s="40"/>
      <c r="O234" s="0"/>
      <c r="P234" s="0"/>
    </row>
    <row r="235" customFormat="false" ht="13.8" hidden="false" customHeight="false" outlineLevel="0" collapsed="false">
      <c r="D235" s="41"/>
      <c r="E235" s="12" t="s">
        <v>189</v>
      </c>
      <c r="F235" s="1" t="n">
        <f aca="false">SUM(F233:F234)</f>
        <v>0</v>
      </c>
      <c r="G235" s="12"/>
      <c r="H235" s="12" t="s">
        <v>192</v>
      </c>
      <c r="I235" s="12"/>
      <c r="J235" s="12"/>
      <c r="K235" s="12"/>
      <c r="L235" s="12"/>
      <c r="M235" s="12"/>
      <c r="N235" s="40"/>
      <c r="O235" s="0"/>
      <c r="P235" s="0"/>
    </row>
    <row r="236" customFormat="false" ht="13.8" hidden="false" customHeight="false" outlineLevel="0" collapsed="false">
      <c r="D236" s="41"/>
      <c r="E236" s="12"/>
      <c r="F236" s="0"/>
      <c r="G236" s="12"/>
      <c r="H236" s="12"/>
      <c r="I236" s="12"/>
      <c r="J236" s="12"/>
      <c r="K236" s="12"/>
      <c r="L236" s="12"/>
      <c r="M236" s="12"/>
      <c r="N236" s="40"/>
      <c r="O236" s="0"/>
      <c r="P236" s="0"/>
    </row>
    <row r="237" customFormat="false" ht="13.8" hidden="false" customHeight="false" outlineLevel="0" collapsed="false">
      <c r="D237" s="41"/>
      <c r="E237" s="12" t="s">
        <v>193</v>
      </c>
      <c r="F237" s="1" t="n">
        <f aca="false">IF($M$20&lt;4,1,0)</f>
        <v>0</v>
      </c>
      <c r="G237" s="12"/>
      <c r="H237" s="12" t="s">
        <v>194</v>
      </c>
      <c r="I237" s="12"/>
      <c r="J237" s="12"/>
      <c r="K237" s="12"/>
      <c r="L237" s="12"/>
      <c r="M237" s="12"/>
      <c r="N237" s="40"/>
      <c r="O237" s="0"/>
      <c r="P237" s="0"/>
    </row>
    <row r="238" customFormat="false" ht="13.8" hidden="false" customHeight="false" outlineLevel="0" collapsed="false">
      <c r="D238" s="41"/>
      <c r="E238" s="12" t="s">
        <v>193</v>
      </c>
      <c r="F238" s="1" t="n">
        <f aca="false">IF($M$20&gt;5,1,0)</f>
        <v>0</v>
      </c>
      <c r="G238" s="12"/>
      <c r="H238" s="12" t="s">
        <v>195</v>
      </c>
      <c r="I238" s="12"/>
      <c r="J238" s="12"/>
      <c r="K238" s="12"/>
      <c r="L238" s="12"/>
      <c r="M238" s="12"/>
      <c r="N238" s="40"/>
      <c r="O238" s="0"/>
      <c r="P238" s="0"/>
    </row>
    <row r="239" customFormat="false" ht="13.8" hidden="false" customHeight="false" outlineLevel="0" collapsed="false">
      <c r="D239" s="41"/>
      <c r="E239" s="12" t="s">
        <v>193</v>
      </c>
      <c r="F239" s="1" t="n">
        <f aca="false">IF(J20=0,0,1)</f>
        <v>1</v>
      </c>
      <c r="G239" s="12"/>
      <c r="H239" s="12" t="s">
        <v>196</v>
      </c>
      <c r="I239" s="12"/>
      <c r="J239" s="12"/>
      <c r="K239" s="12"/>
      <c r="L239" s="12"/>
      <c r="M239" s="12"/>
      <c r="N239" s="40"/>
      <c r="O239" s="0"/>
      <c r="P239" s="0"/>
    </row>
    <row r="240" customFormat="false" ht="13.8" hidden="false" customHeight="false" outlineLevel="0" collapsed="false">
      <c r="D240" s="41"/>
      <c r="E240" s="12" t="s">
        <v>193</v>
      </c>
      <c r="F240" s="1" t="n">
        <f aca="false">IF(F239=0,0,OR(F238,F237))</f>
        <v>0</v>
      </c>
      <c r="G240" s="12"/>
      <c r="H240" s="12" t="s">
        <v>192</v>
      </c>
      <c r="I240" s="12"/>
      <c r="J240" s="12"/>
      <c r="K240" s="12"/>
      <c r="L240" s="12"/>
      <c r="M240" s="12"/>
      <c r="N240" s="40"/>
      <c r="O240" s="0"/>
      <c r="P240" s="0"/>
    </row>
    <row r="241" customFormat="false" ht="13.8" hidden="false" customHeight="false" outlineLevel="0" collapsed="false">
      <c r="D241" s="41"/>
      <c r="E241" s="12"/>
      <c r="F241" s="0"/>
      <c r="G241" s="12"/>
      <c r="H241" s="12"/>
      <c r="I241" s="12"/>
      <c r="J241" s="12"/>
      <c r="K241" s="12"/>
      <c r="L241" s="12"/>
      <c r="M241" s="12"/>
      <c r="N241" s="40"/>
      <c r="O241" s="0"/>
      <c r="P241" s="0"/>
    </row>
    <row r="242" customFormat="false" ht="13.8" hidden="false" customHeight="false" outlineLevel="0" collapsed="false">
      <c r="D242" s="41"/>
      <c r="E242" s="12" t="s">
        <v>197</v>
      </c>
      <c r="F242" s="1" t="n">
        <f aca="false">IF($E$23&lt;4,1,0)</f>
        <v>0</v>
      </c>
      <c r="G242" s="12" t="n">
        <f aca="false">IF($I$30="XT",1,0)</f>
        <v>0</v>
      </c>
      <c r="H242" s="1" t="n">
        <f aca="false">AND($G242,$F242)</f>
        <v>0</v>
      </c>
      <c r="I242" s="6" t="s">
        <v>198</v>
      </c>
      <c r="J242" s="12"/>
      <c r="K242" s="12" t="s">
        <v>199</v>
      </c>
      <c r="L242" s="12"/>
      <c r="M242" s="12"/>
      <c r="N242" s="40"/>
      <c r="O242" s="0"/>
      <c r="P242" s="0"/>
    </row>
    <row r="243" customFormat="false" ht="13.8" hidden="false" customHeight="false" outlineLevel="0" collapsed="false">
      <c r="D243" s="41"/>
      <c r="E243" s="12" t="s">
        <v>197</v>
      </c>
      <c r="F243" s="1" t="n">
        <f aca="false">IF($E$23&gt;10,1,0)</f>
        <v>0</v>
      </c>
      <c r="G243" s="12" t="n">
        <f aca="false">IF($I$30="XT",1,0)</f>
        <v>0</v>
      </c>
      <c r="H243" s="1" t="n">
        <f aca="false">AND($G243,$F243)</f>
        <v>0</v>
      </c>
      <c r="I243" s="6" t="s">
        <v>198</v>
      </c>
      <c r="J243" s="12"/>
      <c r="K243" s="12" t="s">
        <v>200</v>
      </c>
      <c r="L243" s="12"/>
      <c r="M243" s="12"/>
      <c r="N243" s="40"/>
      <c r="O243" s="0"/>
      <c r="P243" s="0"/>
    </row>
    <row r="244" customFormat="false" ht="13.8" hidden="false" customHeight="false" outlineLevel="0" collapsed="false">
      <c r="D244" s="41"/>
      <c r="E244" s="12" t="s">
        <v>197</v>
      </c>
      <c r="F244" s="1" t="n">
        <f aca="false">IF($E$23&lt;10,1,0)</f>
        <v>0</v>
      </c>
      <c r="G244" s="12" t="n">
        <f aca="false">IF($I$30="HS",1,0)</f>
        <v>0</v>
      </c>
      <c r="H244" s="1" t="n">
        <f aca="false">AND($G244,$F244)</f>
        <v>0</v>
      </c>
      <c r="I244" s="6" t="s">
        <v>201</v>
      </c>
      <c r="J244" s="12"/>
      <c r="K244" s="12" t="s">
        <v>202</v>
      </c>
      <c r="L244" s="12"/>
      <c r="M244" s="12"/>
      <c r="N244" s="40"/>
      <c r="O244" s="0"/>
      <c r="P244" s="0"/>
    </row>
    <row r="245" customFormat="false" ht="13.8" hidden="false" customHeight="false" outlineLevel="0" collapsed="false">
      <c r="D245" s="41"/>
      <c r="E245" s="12" t="s">
        <v>197</v>
      </c>
      <c r="F245" s="1" t="n">
        <f aca="false">IF($E$23&gt;25,1,0)</f>
        <v>0</v>
      </c>
      <c r="G245" s="12" t="n">
        <f aca="false">IF($I$30="HS",1,0)</f>
        <v>0</v>
      </c>
      <c r="H245" s="1" t="n">
        <f aca="false">AND($G245,$F245)</f>
        <v>0</v>
      </c>
      <c r="I245" s="6" t="s">
        <v>201</v>
      </c>
      <c r="J245" s="12"/>
      <c r="K245" s="12" t="s">
        <v>203</v>
      </c>
      <c r="L245" s="12"/>
      <c r="M245" s="12"/>
      <c r="N245" s="40"/>
      <c r="O245" s="0"/>
      <c r="P245" s="0"/>
    </row>
    <row r="246" customFormat="false" ht="13.8" hidden="false" customHeight="false" outlineLevel="0" collapsed="false">
      <c r="D246" s="41"/>
      <c r="E246" s="12" t="s">
        <v>197</v>
      </c>
      <c r="F246" s="0"/>
      <c r="G246" s="12"/>
      <c r="H246" s="12" t="n">
        <f aca="false">OR(H242:H245)</f>
        <v>0</v>
      </c>
      <c r="I246" s="12" t="s">
        <v>192</v>
      </c>
      <c r="J246" s="12"/>
      <c r="K246" s="12"/>
      <c r="L246" s="12"/>
      <c r="M246" s="12"/>
      <c r="N246" s="40"/>
      <c r="O246" s="0"/>
      <c r="P246" s="0"/>
    </row>
    <row r="247" customFormat="false" ht="13.8" hidden="false" customHeight="false" outlineLevel="0" collapsed="false">
      <c r="D247" s="41"/>
      <c r="E247" s="12"/>
      <c r="F247" s="0"/>
      <c r="G247" s="12"/>
      <c r="H247" s="12"/>
      <c r="I247" s="12"/>
      <c r="J247" s="12"/>
      <c r="K247" s="12"/>
      <c r="L247" s="12"/>
      <c r="M247" s="12"/>
      <c r="N247" s="40"/>
      <c r="O247" s="0"/>
      <c r="P247" s="0"/>
    </row>
    <row r="248" customFormat="false" ht="13.8" hidden="false" customHeight="false" outlineLevel="0" collapsed="false">
      <c r="D248" s="41"/>
      <c r="E248" s="12" t="s">
        <v>204</v>
      </c>
      <c r="F248" s="1" t="n">
        <f aca="false">IF($E$22&gt;40,1,0)</f>
        <v>0</v>
      </c>
      <c r="G248" s="12"/>
      <c r="H248" s="12" t="s">
        <v>205</v>
      </c>
      <c r="I248" s="12"/>
      <c r="J248" s="12"/>
      <c r="K248" s="12"/>
      <c r="L248" s="12"/>
      <c r="M248" s="12"/>
      <c r="N248" s="40"/>
      <c r="O248" s="0"/>
      <c r="P248" s="0"/>
    </row>
    <row r="249" customFormat="false" ht="13.8" hidden="false" customHeight="false" outlineLevel="0" collapsed="false">
      <c r="D249" s="41"/>
      <c r="E249" s="12"/>
      <c r="F249" s="0"/>
      <c r="G249" s="12"/>
      <c r="H249" s="12"/>
      <c r="I249" s="12"/>
      <c r="J249" s="12"/>
      <c r="K249" s="12"/>
      <c r="L249" s="12"/>
      <c r="M249" s="12"/>
      <c r="N249" s="40"/>
      <c r="O249" s="0"/>
      <c r="P249" s="0"/>
    </row>
    <row r="250" customFormat="false" ht="13.8" hidden="false" customHeight="false" outlineLevel="0" collapsed="false">
      <c r="D250" s="41"/>
      <c r="E250" s="12" t="s">
        <v>206</v>
      </c>
      <c r="F250" s="1" t="n">
        <f aca="false">IF($E$46&lt;32,1,0)</f>
        <v>0</v>
      </c>
      <c r="G250" s="12"/>
      <c r="H250" s="12" t="s">
        <v>207</v>
      </c>
      <c r="I250" s="12"/>
      <c r="J250" s="12"/>
      <c r="K250" s="12"/>
      <c r="L250" s="12"/>
      <c r="M250" s="12"/>
      <c r="N250" s="40"/>
      <c r="O250" s="0"/>
      <c r="P250" s="0"/>
    </row>
    <row r="251" customFormat="false" ht="13.8" hidden="false" customHeight="false" outlineLevel="0" collapsed="false">
      <c r="D251" s="41"/>
      <c r="E251" s="12" t="s">
        <v>206</v>
      </c>
      <c r="F251" s="1" t="n">
        <f aca="false">IF($E$46&gt;100,1,0)</f>
        <v>0</v>
      </c>
      <c r="G251" s="12"/>
      <c r="H251" s="12" t="s">
        <v>208</v>
      </c>
      <c r="I251" s="12"/>
      <c r="J251" s="12"/>
      <c r="K251" s="12"/>
      <c r="L251" s="12"/>
      <c r="M251" s="12"/>
      <c r="N251" s="40"/>
      <c r="O251" s="0"/>
      <c r="P251" s="0"/>
    </row>
    <row r="252" customFormat="false" ht="13.8" hidden="false" customHeight="false" outlineLevel="0" collapsed="false">
      <c r="D252" s="41"/>
      <c r="E252" s="12" t="s">
        <v>206</v>
      </c>
      <c r="F252" s="1" t="n">
        <f aca="false">SUM(F250:F251)</f>
        <v>0</v>
      </c>
      <c r="G252" s="12"/>
      <c r="H252" s="12" t="s">
        <v>209</v>
      </c>
      <c r="I252" s="12"/>
      <c r="J252" s="12"/>
      <c r="K252" s="12"/>
      <c r="L252" s="12"/>
      <c r="M252" s="12"/>
      <c r="N252" s="40"/>
      <c r="O252" s="0"/>
      <c r="P252" s="0"/>
    </row>
    <row r="253" customFormat="false" ht="14.4" hidden="false" customHeight="false" outlineLevel="0" collapsed="false">
      <c r="D253" s="37"/>
      <c r="E253" s="38"/>
      <c r="F253" s="38"/>
      <c r="G253" s="38"/>
      <c r="H253" s="38"/>
      <c r="I253" s="38"/>
      <c r="J253" s="38"/>
      <c r="K253" s="38"/>
      <c r="L253" s="38"/>
      <c r="M253" s="38"/>
      <c r="N253" s="39"/>
      <c r="O253" s="0"/>
      <c r="P253" s="0"/>
    </row>
    <row r="254" customFormat="false" ht="13.8" hidden="false" customHeight="false" outlineLevel="0" collapsed="false">
      <c r="D254" s="0"/>
      <c r="E254" s="0"/>
      <c r="F254" s="0"/>
      <c r="G254" s="0"/>
      <c r="H254" s="0"/>
      <c r="I254" s="0"/>
      <c r="J254" s="0"/>
      <c r="K254" s="0"/>
      <c r="L254" s="0"/>
      <c r="M254" s="0"/>
      <c r="N254" s="0"/>
      <c r="O254" s="0"/>
      <c r="P254" s="0"/>
    </row>
    <row r="255" customFormat="false" ht="14.4" hidden="false" customHeight="false" outlineLevel="0" collapsed="false">
      <c r="D255" s="0"/>
      <c r="E255" s="0"/>
      <c r="F255" s="0"/>
      <c r="G255" s="0"/>
      <c r="H255" s="0"/>
      <c r="I255" s="0"/>
      <c r="J255" s="0"/>
      <c r="K255" s="0"/>
      <c r="L255" s="0"/>
      <c r="M255" s="0"/>
      <c r="N255" s="0"/>
      <c r="O255" s="0"/>
      <c r="P255" s="0"/>
    </row>
    <row r="256" customFormat="false" ht="13.8" hidden="false" customHeight="false" outlineLevel="0" collapsed="false">
      <c r="D256" s="31" t="s">
        <v>210</v>
      </c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3"/>
    </row>
    <row r="257" customFormat="false" ht="13.8" hidden="false" customHeight="false" outlineLevel="0" collapsed="false">
      <c r="D257" s="34" t="s">
        <v>211</v>
      </c>
      <c r="E257" s="35"/>
      <c r="F257" s="35" t="s">
        <v>212</v>
      </c>
      <c r="G257" s="35" t="s">
        <v>213</v>
      </c>
      <c r="H257" s="35" t="s">
        <v>214</v>
      </c>
      <c r="I257" s="35" t="s">
        <v>215</v>
      </c>
      <c r="J257" s="35" t="s">
        <v>216</v>
      </c>
      <c r="K257" s="35"/>
      <c r="L257" s="35"/>
      <c r="M257" s="35" t="s">
        <v>217</v>
      </c>
      <c r="N257" s="35"/>
      <c r="O257" s="35"/>
      <c r="P257" s="36"/>
    </row>
    <row r="258" customFormat="false" ht="13.8" hidden="false" customHeight="false" outlineLevel="0" collapsed="false">
      <c r="D258" s="4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40"/>
    </row>
    <row r="259" customFormat="false" ht="13.8" hidden="false" customHeight="false" outlineLevel="0" collapsed="false">
      <c r="D259" s="41" t="s">
        <v>218</v>
      </c>
      <c r="E259" s="12"/>
      <c r="F259" s="12" t="s">
        <v>219</v>
      </c>
      <c r="G259" s="12" t="n">
        <v>0</v>
      </c>
      <c r="H259" s="12" t="n">
        <v>40</v>
      </c>
      <c r="I259" s="18" t="s">
        <v>6</v>
      </c>
      <c r="J259" s="12" t="s">
        <v>21</v>
      </c>
      <c r="K259" s="12"/>
      <c r="L259" s="12"/>
      <c r="M259" s="12" t="s">
        <v>220</v>
      </c>
      <c r="N259" s="12"/>
      <c r="O259" s="12"/>
      <c r="P259" s="40"/>
    </row>
    <row r="260" customFormat="false" ht="13.8" hidden="false" customHeight="false" outlineLevel="0" collapsed="false">
      <c r="D260" s="41" t="s">
        <v>218</v>
      </c>
      <c r="E260" s="12"/>
      <c r="F260" s="12"/>
      <c r="G260" s="12" t="n">
        <v>4</v>
      </c>
      <c r="H260" s="12" t="n">
        <v>40</v>
      </c>
      <c r="I260" s="18"/>
      <c r="J260" s="12" t="s">
        <v>221</v>
      </c>
      <c r="K260" s="12"/>
      <c r="L260" s="12"/>
      <c r="M260" s="12" t="s">
        <v>220</v>
      </c>
      <c r="N260" s="12"/>
      <c r="O260" s="12"/>
      <c r="P260" s="40"/>
    </row>
    <row r="261" customFormat="false" ht="13.8" hidden="false" customHeight="false" outlineLevel="0" collapsed="false">
      <c r="D261" s="41" t="s">
        <v>222</v>
      </c>
      <c r="E261" s="12"/>
      <c r="F261" s="12"/>
      <c r="G261" s="12" t="n">
        <v>3</v>
      </c>
      <c r="H261" s="12" t="n">
        <v>10</v>
      </c>
      <c r="I261" s="18"/>
      <c r="J261" s="12" t="s">
        <v>59</v>
      </c>
      <c r="K261" s="12"/>
      <c r="L261" s="12"/>
      <c r="M261" s="12" t="s">
        <v>220</v>
      </c>
      <c r="N261" s="12"/>
      <c r="O261" s="12"/>
      <c r="P261" s="40"/>
    </row>
    <row r="262" customFormat="false" ht="13.8" hidden="false" customHeight="false" outlineLevel="0" collapsed="false">
      <c r="D262" s="41" t="s">
        <v>223</v>
      </c>
      <c r="E262" s="12"/>
      <c r="F262" s="12"/>
      <c r="G262" s="12" t="n">
        <v>4</v>
      </c>
      <c r="H262" s="12" t="n">
        <v>10</v>
      </c>
      <c r="I262" s="18"/>
      <c r="J262" s="12" t="s">
        <v>224</v>
      </c>
      <c r="K262" s="12"/>
      <c r="L262" s="12"/>
      <c r="M262" s="12" t="s">
        <v>220</v>
      </c>
      <c r="N262" s="12"/>
      <c r="O262" s="12"/>
      <c r="P262" s="40"/>
    </row>
    <row r="263" customFormat="false" ht="13.8" hidden="false" customHeight="false" outlineLevel="0" collapsed="false">
      <c r="D263" s="41" t="s">
        <v>225</v>
      </c>
      <c r="E263" s="12"/>
      <c r="F263" s="12"/>
      <c r="G263" s="12" t="n">
        <v>10</v>
      </c>
      <c r="H263" s="12" t="n">
        <v>25</v>
      </c>
      <c r="I263" s="18"/>
      <c r="J263" s="12" t="s">
        <v>226</v>
      </c>
      <c r="K263" s="12"/>
      <c r="L263" s="12"/>
      <c r="M263" s="12" t="s">
        <v>227</v>
      </c>
      <c r="N263" s="12"/>
      <c r="O263" s="12"/>
      <c r="P263" s="40"/>
    </row>
    <row r="264" customFormat="false" ht="13.8" hidden="false" customHeight="false" outlineLevel="0" collapsed="false">
      <c r="D264" s="41" t="s">
        <v>228</v>
      </c>
      <c r="E264" s="12"/>
      <c r="F264" s="12" t="s">
        <v>219</v>
      </c>
      <c r="G264" s="12" t="n">
        <v>32</v>
      </c>
      <c r="H264" s="12" t="n">
        <v>100</v>
      </c>
      <c r="I264" s="18" t="s">
        <v>30</v>
      </c>
      <c r="J264" s="12" t="s">
        <v>229</v>
      </c>
      <c r="K264" s="12"/>
      <c r="L264" s="12"/>
      <c r="M264" s="12" t="s">
        <v>227</v>
      </c>
      <c r="N264" s="12"/>
      <c r="O264" s="12"/>
      <c r="P264" s="40"/>
    </row>
    <row r="265" customFormat="false" ht="13.8" hidden="false" customHeight="false" outlineLevel="0" collapsed="false">
      <c r="D265" s="41"/>
      <c r="E265" s="12"/>
      <c r="F265" s="12"/>
      <c r="G265" s="12"/>
      <c r="H265" s="12"/>
      <c r="I265" s="18"/>
      <c r="J265" s="12"/>
      <c r="K265" s="12"/>
      <c r="L265" s="12"/>
      <c r="M265" s="12"/>
      <c r="N265" s="12"/>
      <c r="O265" s="12"/>
      <c r="P265" s="40"/>
    </row>
    <row r="266" customFormat="false" ht="13.8" hidden="false" customHeight="false" outlineLevel="0" collapsed="false">
      <c r="D266" s="41" t="s">
        <v>230</v>
      </c>
      <c r="E266" s="12"/>
      <c r="F266" s="12" t="s">
        <v>231</v>
      </c>
      <c r="G266" s="12" t="n">
        <v>4</v>
      </c>
      <c r="H266" s="12" t="n">
        <v>5</v>
      </c>
      <c r="I266" s="18" t="s">
        <v>6</v>
      </c>
      <c r="J266" s="12" t="s">
        <v>232</v>
      </c>
      <c r="K266" s="12"/>
      <c r="L266" s="12"/>
      <c r="M266" s="12" t="s">
        <v>233</v>
      </c>
      <c r="N266" s="12"/>
      <c r="O266" s="12"/>
      <c r="P266" s="40"/>
    </row>
    <row r="267" customFormat="false" ht="14.4" hidden="false" customHeight="false" outlineLevel="0" collapsed="false">
      <c r="D267" s="37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9"/>
    </row>
    <row r="268" customFormat="false" ht="13.8" hidden="false" customHeight="false" outlineLevel="0" collapsed="false"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</row>
    <row r="269" customFormat="false" ht="14.4" hidden="false" customHeight="false" outlineLevel="0" collapsed="false">
      <c r="D269" s="0"/>
      <c r="E269" s="0"/>
      <c r="F269" s="0"/>
      <c r="G269" s="0"/>
      <c r="H269" s="0"/>
      <c r="I269" s="0"/>
      <c r="J269" s="0"/>
      <c r="K269" s="0"/>
      <c r="L269" s="0"/>
      <c r="M269" s="0"/>
      <c r="N269" s="0"/>
      <c r="O269" s="0"/>
      <c r="P269" s="0"/>
    </row>
    <row r="270" customFormat="false" ht="13.8" hidden="false" customHeight="false" outlineLevel="0" collapsed="false">
      <c r="D270" s="31" t="s">
        <v>234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3"/>
    </row>
    <row r="271" customFormat="false" ht="13.8" hidden="false" customHeight="false" outlineLevel="0" collapsed="false">
      <c r="D271" s="34" t="s">
        <v>211</v>
      </c>
      <c r="E271" s="35"/>
      <c r="F271" s="35" t="s">
        <v>212</v>
      </c>
      <c r="G271" s="35" t="s">
        <v>213</v>
      </c>
      <c r="H271" s="35" t="s">
        <v>214</v>
      </c>
      <c r="I271" s="35" t="s">
        <v>215</v>
      </c>
      <c r="J271" s="35" t="s">
        <v>216</v>
      </c>
      <c r="K271" s="35"/>
      <c r="L271" s="35"/>
      <c r="M271" s="35" t="s">
        <v>217</v>
      </c>
      <c r="N271" s="35"/>
      <c r="O271" s="35"/>
      <c r="P271" s="36"/>
    </row>
    <row r="272" customFormat="false" ht="13.8" hidden="false" customHeight="false" outlineLevel="0" collapsed="false">
      <c r="D272" s="4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40"/>
    </row>
    <row r="273" customFormat="false" ht="13.8" hidden="false" customHeight="false" outlineLevel="0" collapsed="false">
      <c r="D273" s="41" t="s">
        <v>218</v>
      </c>
      <c r="E273" s="12"/>
      <c r="F273" s="12" t="s">
        <v>219</v>
      </c>
      <c r="G273" s="12" t="n">
        <v>0</v>
      </c>
      <c r="H273" s="12" t="n">
        <v>50</v>
      </c>
      <c r="I273" s="18" t="s">
        <v>6</v>
      </c>
      <c r="J273" s="12" t="s">
        <v>21</v>
      </c>
      <c r="K273" s="12"/>
      <c r="L273" s="12"/>
      <c r="M273" s="12" t="s">
        <v>220</v>
      </c>
      <c r="N273" s="12"/>
      <c r="O273" s="12"/>
      <c r="P273" s="40"/>
    </row>
    <row r="274" customFormat="false" ht="13.8" hidden="false" customHeight="false" outlineLevel="0" collapsed="false">
      <c r="D274" s="41" t="s">
        <v>218</v>
      </c>
      <c r="E274" s="12"/>
      <c r="F274" s="12"/>
      <c r="G274" s="12" t="n">
        <v>4</v>
      </c>
      <c r="H274" s="12" t="n">
        <v>50</v>
      </c>
      <c r="I274" s="18"/>
      <c r="J274" s="12" t="s">
        <v>221</v>
      </c>
      <c r="K274" s="12"/>
      <c r="L274" s="12"/>
      <c r="M274" s="12" t="s">
        <v>220</v>
      </c>
      <c r="N274" s="12"/>
      <c r="O274" s="12"/>
      <c r="P274" s="40"/>
    </row>
    <row r="275" customFormat="false" ht="13.8" hidden="false" customHeight="false" outlineLevel="0" collapsed="false">
      <c r="D275" s="41" t="s">
        <v>222</v>
      </c>
      <c r="E275" s="12"/>
      <c r="F275" s="12"/>
      <c r="G275" s="12" t="n">
        <v>3</v>
      </c>
      <c r="H275" s="12" t="n">
        <v>10</v>
      </c>
      <c r="I275" s="18"/>
      <c r="J275" s="12" t="s">
        <v>59</v>
      </c>
      <c r="K275" s="12"/>
      <c r="L275" s="12"/>
      <c r="M275" s="12" t="s">
        <v>220</v>
      </c>
      <c r="N275" s="12"/>
      <c r="O275" s="12"/>
      <c r="P275" s="40"/>
    </row>
    <row r="276" customFormat="false" ht="13.8" hidden="false" customHeight="false" outlineLevel="0" collapsed="false">
      <c r="D276" s="41" t="s">
        <v>223</v>
      </c>
      <c r="E276" s="12"/>
      <c r="F276" s="12"/>
      <c r="G276" s="12" t="n">
        <v>4</v>
      </c>
      <c r="H276" s="12" t="n">
        <v>10</v>
      </c>
      <c r="I276" s="18"/>
      <c r="J276" s="12" t="s">
        <v>224</v>
      </c>
      <c r="K276" s="12"/>
      <c r="L276" s="12"/>
      <c r="M276" s="12" t="s">
        <v>220</v>
      </c>
      <c r="N276" s="12"/>
      <c r="O276" s="12"/>
      <c r="P276" s="40"/>
    </row>
    <row r="277" customFormat="false" ht="13.8" hidden="false" customHeight="false" outlineLevel="0" collapsed="false">
      <c r="D277" s="41" t="s">
        <v>225</v>
      </c>
      <c r="E277" s="12"/>
      <c r="F277" s="12"/>
      <c r="G277" s="12" t="n">
        <v>10</v>
      </c>
      <c r="H277" s="12" t="n">
        <v>25</v>
      </c>
      <c r="I277" s="18"/>
      <c r="J277" s="12" t="s">
        <v>226</v>
      </c>
      <c r="K277" s="12"/>
      <c r="L277" s="12"/>
      <c r="M277" s="12" t="s">
        <v>227</v>
      </c>
      <c r="N277" s="12"/>
      <c r="O277" s="12"/>
      <c r="P277" s="40"/>
    </row>
    <row r="278" customFormat="false" ht="13.8" hidden="false" customHeight="false" outlineLevel="0" collapsed="false">
      <c r="D278" s="41" t="s">
        <v>228</v>
      </c>
      <c r="E278" s="12"/>
      <c r="F278" s="12" t="s">
        <v>219</v>
      </c>
      <c r="G278" s="12" t="n">
        <v>32</v>
      </c>
      <c r="H278" s="12" t="n">
        <v>100</v>
      </c>
      <c r="I278" s="18" t="s">
        <v>30</v>
      </c>
      <c r="J278" s="12" t="s">
        <v>229</v>
      </c>
      <c r="K278" s="12"/>
      <c r="L278" s="12"/>
      <c r="M278" s="12" t="s">
        <v>227</v>
      </c>
      <c r="N278" s="12"/>
      <c r="O278" s="12"/>
      <c r="P278" s="40"/>
    </row>
    <row r="279" customFormat="false" ht="13.8" hidden="false" customHeight="false" outlineLevel="0" collapsed="false">
      <c r="D279" s="41"/>
      <c r="E279" s="12"/>
      <c r="F279" s="12"/>
      <c r="G279" s="12"/>
      <c r="H279" s="12"/>
      <c r="I279" s="18"/>
      <c r="J279" s="12"/>
      <c r="K279" s="12"/>
      <c r="L279" s="12"/>
      <c r="M279" s="12"/>
      <c r="N279" s="12"/>
      <c r="O279" s="12"/>
      <c r="P279" s="40"/>
    </row>
    <row r="280" customFormat="false" ht="13.8" hidden="false" customHeight="false" outlineLevel="0" collapsed="false">
      <c r="D280" s="41" t="s">
        <v>230</v>
      </c>
      <c r="E280" s="12"/>
      <c r="F280" s="12" t="s">
        <v>231</v>
      </c>
      <c r="G280" s="12" t="n">
        <v>4</v>
      </c>
      <c r="H280" s="12" t="n">
        <v>5</v>
      </c>
      <c r="I280" s="18" t="s">
        <v>6</v>
      </c>
      <c r="J280" s="12" t="s">
        <v>232</v>
      </c>
      <c r="K280" s="12"/>
      <c r="L280" s="12"/>
      <c r="M280" s="12" t="s">
        <v>233</v>
      </c>
      <c r="N280" s="12"/>
      <c r="O280" s="12"/>
      <c r="P280" s="40"/>
    </row>
    <row r="281" customFormat="false" ht="14.4" hidden="false" customHeight="false" outlineLevel="0" collapsed="false">
      <c r="D281" s="37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9"/>
    </row>
    <row r="282" customFormat="false" ht="13.8" hidden="false" customHeight="false" outlineLevel="0" collapsed="false"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</row>
    <row r="283" customFormat="false" ht="14.4" hidden="false" customHeight="false" outlineLevel="0" collapsed="false">
      <c r="D283" s="0"/>
      <c r="E283" s="0"/>
      <c r="F283" s="0"/>
      <c r="G283" s="0"/>
      <c r="H283" s="0"/>
      <c r="I283" s="0"/>
      <c r="J283" s="0"/>
      <c r="K283" s="0"/>
      <c r="L283" s="0"/>
      <c r="M283" s="0"/>
      <c r="N283" s="0"/>
      <c r="O283" s="0"/>
      <c r="P283" s="0"/>
    </row>
    <row r="284" customFormat="false" ht="13.8" hidden="false" customHeight="false" outlineLevel="0" collapsed="false">
      <c r="D284" s="31" t="s">
        <v>235</v>
      </c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3"/>
    </row>
    <row r="285" customFormat="false" ht="13.8" hidden="false" customHeight="false" outlineLevel="0" collapsed="false">
      <c r="D285" s="34" t="s">
        <v>211</v>
      </c>
      <c r="E285" s="35"/>
      <c r="F285" s="35" t="s">
        <v>212</v>
      </c>
      <c r="G285" s="35" t="s">
        <v>213</v>
      </c>
      <c r="H285" s="35" t="s">
        <v>214</v>
      </c>
      <c r="I285" s="35" t="s">
        <v>215</v>
      </c>
      <c r="J285" s="35" t="s">
        <v>216</v>
      </c>
      <c r="K285" s="35"/>
      <c r="L285" s="35"/>
      <c r="M285" s="35" t="s">
        <v>217</v>
      </c>
      <c r="N285" s="35"/>
      <c r="O285" s="35"/>
      <c r="P285" s="36"/>
    </row>
    <row r="286" customFormat="false" ht="13.8" hidden="false" customHeight="false" outlineLevel="0" collapsed="false">
      <c r="D286" s="4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40"/>
    </row>
    <row r="287" customFormat="false" ht="13.8" hidden="false" customHeight="false" outlineLevel="0" collapsed="false">
      <c r="D287" s="41" t="s">
        <v>218</v>
      </c>
      <c r="E287" s="12"/>
      <c r="F287" s="12" t="s">
        <v>219</v>
      </c>
      <c r="G287" s="12" t="n">
        <v>0</v>
      </c>
      <c r="H287" s="12" t="n">
        <v>100</v>
      </c>
      <c r="I287" s="18" t="s">
        <v>6</v>
      </c>
      <c r="J287" s="12" t="s">
        <v>21</v>
      </c>
      <c r="K287" s="12"/>
      <c r="L287" s="12"/>
      <c r="M287" s="12" t="s">
        <v>236</v>
      </c>
      <c r="N287" s="12"/>
      <c r="O287" s="12"/>
      <c r="P287" s="40"/>
    </row>
    <row r="288" customFormat="false" ht="13.8" hidden="false" customHeight="false" outlineLevel="0" collapsed="false">
      <c r="D288" s="41" t="s">
        <v>218</v>
      </c>
      <c r="E288" s="12"/>
      <c r="F288" s="12" t="s">
        <v>219</v>
      </c>
      <c r="G288" s="12" t="n">
        <v>0</v>
      </c>
      <c r="H288" s="12" t="n">
        <v>80</v>
      </c>
      <c r="I288" s="18" t="s">
        <v>6</v>
      </c>
      <c r="J288" s="12" t="s">
        <v>21</v>
      </c>
      <c r="K288" s="12"/>
      <c r="L288" s="12"/>
      <c r="M288" s="12" t="s">
        <v>237</v>
      </c>
      <c r="N288" s="12"/>
      <c r="O288" s="12"/>
      <c r="P288" s="40"/>
    </row>
    <row r="289" customFormat="false" ht="13.8" hidden="false" customHeight="false" outlineLevel="0" collapsed="false">
      <c r="D289" s="41" t="s">
        <v>218</v>
      </c>
      <c r="E289" s="12"/>
      <c r="F289" s="12"/>
      <c r="G289" s="12" t="n">
        <v>4</v>
      </c>
      <c r="H289" s="12" t="n">
        <v>100</v>
      </c>
      <c r="I289" s="18"/>
      <c r="J289" s="12" t="s">
        <v>221</v>
      </c>
      <c r="K289" s="12"/>
      <c r="L289" s="12"/>
      <c r="M289" s="12" t="s">
        <v>236</v>
      </c>
      <c r="N289" s="12"/>
      <c r="O289" s="12"/>
      <c r="P289" s="40"/>
    </row>
    <row r="290" customFormat="false" ht="13.8" hidden="false" customHeight="false" outlineLevel="0" collapsed="false">
      <c r="D290" s="41" t="s">
        <v>218</v>
      </c>
      <c r="E290" s="12"/>
      <c r="F290" s="12"/>
      <c r="G290" s="12" t="n">
        <v>4</v>
      </c>
      <c r="H290" s="12" t="n">
        <v>80</v>
      </c>
      <c r="I290" s="18"/>
      <c r="J290" s="12" t="s">
        <v>221</v>
      </c>
      <c r="K290" s="12"/>
      <c r="L290" s="12"/>
      <c r="M290" s="12" t="s">
        <v>237</v>
      </c>
      <c r="N290" s="12"/>
      <c r="O290" s="12"/>
      <c r="P290" s="40"/>
    </row>
    <row r="291" customFormat="false" ht="13.8" hidden="false" customHeight="false" outlineLevel="0" collapsed="false">
      <c r="D291" s="41" t="s">
        <v>222</v>
      </c>
      <c r="E291" s="12"/>
      <c r="F291" s="12"/>
      <c r="G291" s="12" t="n">
        <v>3</v>
      </c>
      <c r="H291" s="12" t="n">
        <v>10</v>
      </c>
      <c r="I291" s="18"/>
      <c r="J291" s="12" t="s">
        <v>59</v>
      </c>
      <c r="K291" s="12"/>
      <c r="L291" s="12"/>
      <c r="M291" s="12" t="s">
        <v>220</v>
      </c>
      <c r="N291" s="12"/>
      <c r="O291" s="12"/>
      <c r="P291" s="40"/>
    </row>
    <row r="292" customFormat="false" ht="13.8" hidden="false" customHeight="false" outlineLevel="0" collapsed="false">
      <c r="D292" s="41" t="s">
        <v>223</v>
      </c>
      <c r="E292" s="12"/>
      <c r="F292" s="12"/>
      <c r="G292" s="12" t="n">
        <v>4</v>
      </c>
      <c r="H292" s="12" t="n">
        <v>10</v>
      </c>
      <c r="I292" s="18"/>
      <c r="J292" s="12" t="s">
        <v>224</v>
      </c>
      <c r="K292" s="12"/>
      <c r="L292" s="12"/>
      <c r="M292" s="12" t="s">
        <v>220</v>
      </c>
      <c r="N292" s="12"/>
      <c r="O292" s="12"/>
      <c r="P292" s="40"/>
    </row>
    <row r="293" customFormat="false" ht="13.8" hidden="false" customHeight="false" outlineLevel="0" collapsed="false">
      <c r="D293" s="41" t="s">
        <v>225</v>
      </c>
      <c r="E293" s="12"/>
      <c r="F293" s="12"/>
      <c r="G293" s="12" t="n">
        <v>10</v>
      </c>
      <c r="H293" s="12" t="n">
        <v>25</v>
      </c>
      <c r="I293" s="18"/>
      <c r="J293" s="12" t="s">
        <v>226</v>
      </c>
      <c r="K293" s="12"/>
      <c r="L293" s="12"/>
      <c r="M293" s="12" t="s">
        <v>227</v>
      </c>
      <c r="N293" s="12"/>
      <c r="O293" s="12"/>
      <c r="P293" s="40"/>
    </row>
    <row r="294" customFormat="false" ht="13.8" hidden="false" customHeight="false" outlineLevel="0" collapsed="false">
      <c r="D294" s="41" t="s">
        <v>228</v>
      </c>
      <c r="E294" s="12"/>
      <c r="F294" s="12" t="s">
        <v>219</v>
      </c>
      <c r="G294" s="12" t="n">
        <v>32</v>
      </c>
      <c r="H294" s="12" t="n">
        <v>100</v>
      </c>
      <c r="I294" s="18" t="s">
        <v>30</v>
      </c>
      <c r="J294" s="12" t="s">
        <v>229</v>
      </c>
      <c r="K294" s="12"/>
      <c r="L294" s="12"/>
      <c r="M294" s="12" t="s">
        <v>227</v>
      </c>
      <c r="N294" s="12"/>
      <c r="O294" s="12"/>
      <c r="P294" s="40"/>
    </row>
    <row r="295" customFormat="false" ht="13.8" hidden="false" customHeight="false" outlineLevel="0" collapsed="false">
      <c r="D295" s="41"/>
      <c r="E295" s="12"/>
      <c r="F295" s="12"/>
      <c r="G295" s="12"/>
      <c r="H295" s="12"/>
      <c r="I295" s="18"/>
      <c r="J295" s="12"/>
      <c r="K295" s="12"/>
      <c r="L295" s="12"/>
      <c r="M295" s="12"/>
      <c r="N295" s="12"/>
      <c r="O295" s="12"/>
      <c r="P295" s="40"/>
    </row>
    <row r="296" customFormat="false" ht="13.8" hidden="false" customHeight="false" outlineLevel="0" collapsed="false">
      <c r="D296" s="41" t="s">
        <v>230</v>
      </c>
      <c r="E296" s="12"/>
      <c r="F296" s="12" t="s">
        <v>231</v>
      </c>
      <c r="G296" s="12" t="n">
        <v>4</v>
      </c>
      <c r="H296" s="12" t="n">
        <v>5</v>
      </c>
      <c r="I296" s="18" t="s">
        <v>6</v>
      </c>
      <c r="J296" s="12" t="s">
        <v>232</v>
      </c>
      <c r="K296" s="12"/>
      <c r="L296" s="12"/>
      <c r="M296" s="12" t="s">
        <v>233</v>
      </c>
      <c r="N296" s="12"/>
      <c r="O296" s="12"/>
      <c r="P296" s="40"/>
    </row>
    <row r="297" customFormat="false" ht="14.4" hidden="false" customHeight="false" outlineLevel="0" collapsed="false">
      <c r="D297" s="37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9"/>
    </row>
    <row r="298" customFormat="false" ht="13.8" hidden="false" customHeight="false" outlineLevel="0" collapsed="false">
      <c r="D298" s="0"/>
      <c r="E298" s="0"/>
      <c r="F298" s="0"/>
      <c r="G298" s="0"/>
      <c r="H298" s="0"/>
      <c r="I298" s="0"/>
      <c r="J298" s="0"/>
      <c r="K298" s="0"/>
      <c r="L298" s="0"/>
      <c r="M298" s="0"/>
      <c r="N298" s="0"/>
      <c r="O298" s="0"/>
      <c r="P298" s="0"/>
    </row>
    <row r="299" customFormat="false" ht="14.4" hidden="false" customHeight="false" outlineLevel="0" collapsed="false">
      <c r="D299" s="0"/>
      <c r="E299" s="0"/>
      <c r="F299" s="0"/>
      <c r="G299" s="0"/>
      <c r="H299" s="0"/>
      <c r="I299" s="0"/>
      <c r="J299" s="0"/>
      <c r="K299" s="0"/>
      <c r="L299" s="0"/>
      <c r="M299" s="0"/>
      <c r="N299" s="0"/>
      <c r="O299" s="0"/>
      <c r="P299" s="0"/>
    </row>
    <row r="300" customFormat="false" ht="13.8" hidden="false" customHeight="false" outlineLevel="0" collapsed="false">
      <c r="D300" s="31" t="s">
        <v>238</v>
      </c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3"/>
    </row>
    <row r="301" customFormat="false" ht="13.8" hidden="false" customHeight="false" outlineLevel="0" collapsed="false">
      <c r="D301" s="34" t="s">
        <v>211</v>
      </c>
      <c r="E301" s="35"/>
      <c r="F301" s="35" t="s">
        <v>212</v>
      </c>
      <c r="G301" s="35" t="s">
        <v>213</v>
      </c>
      <c r="H301" s="35" t="s">
        <v>214</v>
      </c>
      <c r="I301" s="35" t="s">
        <v>215</v>
      </c>
      <c r="J301" s="35" t="s">
        <v>216</v>
      </c>
      <c r="K301" s="35"/>
      <c r="L301" s="35"/>
      <c r="M301" s="35" t="s">
        <v>217</v>
      </c>
      <c r="N301" s="35"/>
      <c r="O301" s="35"/>
      <c r="P301" s="36"/>
    </row>
    <row r="302" customFormat="false" ht="13.8" hidden="false" customHeight="false" outlineLevel="0" collapsed="false">
      <c r="D302" s="4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40"/>
    </row>
    <row r="303" customFormat="false" ht="13.8" hidden="false" customHeight="false" outlineLevel="0" collapsed="false">
      <c r="D303" s="41" t="s">
        <v>218</v>
      </c>
      <c r="E303" s="12"/>
      <c r="F303" s="12" t="s">
        <v>219</v>
      </c>
      <c r="G303" s="12" t="n">
        <v>0</v>
      </c>
      <c r="H303" s="12" t="n">
        <v>50</v>
      </c>
      <c r="I303" s="18" t="s">
        <v>6</v>
      </c>
      <c r="J303" s="12" t="s">
        <v>21</v>
      </c>
      <c r="K303" s="12"/>
      <c r="L303" s="12"/>
      <c r="M303" s="12" t="s">
        <v>220</v>
      </c>
      <c r="N303" s="12"/>
      <c r="O303" s="12"/>
      <c r="P303" s="40"/>
    </row>
    <row r="304" customFormat="false" ht="13.8" hidden="false" customHeight="false" outlineLevel="0" collapsed="false">
      <c r="D304" s="41" t="s">
        <v>218</v>
      </c>
      <c r="E304" s="12"/>
      <c r="F304" s="12"/>
      <c r="G304" s="12" t="n">
        <v>4</v>
      </c>
      <c r="H304" s="12" t="n">
        <v>50</v>
      </c>
      <c r="I304" s="18"/>
      <c r="J304" s="12" t="s">
        <v>221</v>
      </c>
      <c r="K304" s="12"/>
      <c r="L304" s="12"/>
      <c r="M304" s="12" t="s">
        <v>220</v>
      </c>
      <c r="N304" s="12"/>
      <c r="O304" s="12"/>
      <c r="P304" s="40"/>
    </row>
    <row r="305" customFormat="false" ht="13.8" hidden="false" customHeight="false" outlineLevel="0" collapsed="false">
      <c r="D305" s="41" t="s">
        <v>222</v>
      </c>
      <c r="E305" s="12"/>
      <c r="F305" s="12"/>
      <c r="G305" s="12" t="n">
        <v>3</v>
      </c>
      <c r="H305" s="12" t="n">
        <v>10</v>
      </c>
      <c r="I305" s="18"/>
      <c r="J305" s="12" t="s">
        <v>59</v>
      </c>
      <c r="K305" s="12"/>
      <c r="L305" s="12"/>
      <c r="M305" s="12" t="s">
        <v>220</v>
      </c>
      <c r="N305" s="12"/>
      <c r="O305" s="12"/>
      <c r="P305" s="40"/>
    </row>
    <row r="306" customFormat="false" ht="13.8" hidden="false" customHeight="false" outlineLevel="0" collapsed="false">
      <c r="D306" s="41" t="s">
        <v>223</v>
      </c>
      <c r="E306" s="12"/>
      <c r="F306" s="12"/>
      <c r="G306" s="12" t="n">
        <v>4</v>
      </c>
      <c r="H306" s="12" t="n">
        <v>10</v>
      </c>
      <c r="I306" s="18"/>
      <c r="J306" s="12" t="s">
        <v>224</v>
      </c>
      <c r="K306" s="12"/>
      <c r="L306" s="12"/>
      <c r="M306" s="12" t="s">
        <v>220</v>
      </c>
      <c r="N306" s="12"/>
      <c r="O306" s="12"/>
      <c r="P306" s="40"/>
    </row>
    <row r="307" customFormat="false" ht="13.8" hidden="false" customHeight="false" outlineLevel="0" collapsed="false">
      <c r="D307" s="41" t="s">
        <v>225</v>
      </c>
      <c r="E307" s="12"/>
      <c r="F307" s="12"/>
      <c r="G307" s="12" t="n">
        <v>10</v>
      </c>
      <c r="H307" s="12" t="n">
        <v>25</v>
      </c>
      <c r="I307" s="18"/>
      <c r="J307" s="12" t="s">
        <v>226</v>
      </c>
      <c r="K307" s="12"/>
      <c r="L307" s="12"/>
      <c r="M307" s="12" t="s">
        <v>227</v>
      </c>
      <c r="N307" s="12"/>
      <c r="O307" s="12"/>
      <c r="P307" s="40"/>
    </row>
    <row r="308" customFormat="false" ht="13.8" hidden="false" customHeight="false" outlineLevel="0" collapsed="false">
      <c r="D308" s="41" t="s">
        <v>228</v>
      </c>
      <c r="E308" s="12"/>
      <c r="F308" s="12" t="s">
        <v>219</v>
      </c>
      <c r="G308" s="12" t="n">
        <v>32</v>
      </c>
      <c r="H308" s="12" t="n">
        <v>100</v>
      </c>
      <c r="I308" s="18" t="s">
        <v>30</v>
      </c>
      <c r="J308" s="12" t="s">
        <v>229</v>
      </c>
      <c r="K308" s="12"/>
      <c r="L308" s="12"/>
      <c r="M308" s="12" t="s">
        <v>227</v>
      </c>
      <c r="N308" s="12"/>
      <c r="O308" s="12"/>
      <c r="P308" s="40"/>
    </row>
    <row r="309" customFormat="false" ht="13.8" hidden="false" customHeight="false" outlineLevel="0" collapsed="false">
      <c r="D309" s="41"/>
      <c r="E309" s="12"/>
      <c r="F309" s="12"/>
      <c r="G309" s="12"/>
      <c r="H309" s="12"/>
      <c r="I309" s="18"/>
      <c r="J309" s="12"/>
      <c r="K309" s="12"/>
      <c r="L309" s="12"/>
      <c r="M309" s="12"/>
      <c r="N309" s="12"/>
      <c r="O309" s="12"/>
      <c r="P309" s="40"/>
    </row>
    <row r="310" customFormat="false" ht="13.8" hidden="false" customHeight="false" outlineLevel="0" collapsed="false">
      <c r="D310" s="41" t="s">
        <v>230</v>
      </c>
      <c r="E310" s="12"/>
      <c r="F310" s="12" t="s">
        <v>231</v>
      </c>
      <c r="G310" s="12" t="n">
        <v>4</v>
      </c>
      <c r="H310" s="12" t="n">
        <v>5</v>
      </c>
      <c r="I310" s="18" t="s">
        <v>6</v>
      </c>
      <c r="J310" s="12" t="s">
        <v>232</v>
      </c>
      <c r="K310" s="12"/>
      <c r="L310" s="12"/>
      <c r="M310" s="12" t="s">
        <v>233</v>
      </c>
      <c r="N310" s="12"/>
      <c r="O310" s="12"/>
      <c r="P310" s="40"/>
    </row>
    <row r="311" customFormat="false" ht="14.4" hidden="false" customHeight="false" outlineLevel="0" collapsed="false">
      <c r="D311" s="37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9"/>
    </row>
  </sheetData>
  <mergeCells count="3">
    <mergeCell ref="I10:J10"/>
    <mergeCell ref="T34:W34"/>
    <mergeCell ref="O79:S79"/>
  </mergeCells>
  <conditionalFormatting sqref="F230:F234;V43;F25;S46">
    <cfRule type="expression" priority="2" aboveAverage="0" equalAverage="0" bottom="0" percent="0" rank="0" text="" dxfId="0">
      <formula>#ref!</formula>
    </cfRule>
  </conditionalFormatting>
  <conditionalFormatting sqref="W68">
    <cfRule type="expression" priority="3" aboveAverage="0" equalAverage="0" bottom="0" percent="0" rank="0" text="" dxfId="1">
      <formula>$W$68&gt;#ref!</formula>
    </cfRule>
  </conditionalFormatting>
  <conditionalFormatting sqref="V37">
    <cfRule type="expression" priority="4" aboveAverage="0" equalAverage="0" bottom="0" percent="0" rank="0" text="" dxfId="2">
      <formula>$F$236</formula>
    </cfRule>
  </conditionalFormatting>
  <conditionalFormatting sqref="R49">
    <cfRule type="expression" priority="5" aboveAverage="0" equalAverage="0" bottom="0" percent="0" rank="0" text="" dxfId="3">
      <formula>$F$231</formula>
    </cfRule>
  </conditionalFormatting>
  <conditionalFormatting sqref="E46">
    <cfRule type="expression" priority="6" aboveAverage="0" equalAverage="0" bottom="0" percent="0" rank="0" text="" dxfId="4">
      <formula>$F$252</formula>
    </cfRule>
  </conditionalFormatting>
  <conditionalFormatting sqref="E31">
    <cfRule type="expression" priority="7" aboveAverage="0" equalAverage="0" bottom="0" percent="0" rank="0" text="" dxfId="5">
      <formula>$F$229</formula>
    </cfRule>
  </conditionalFormatting>
  <conditionalFormatting sqref="M20">
    <cfRule type="expression" priority="8" aboveAverage="0" equalAverage="0" bottom="0" percent="0" rank="0" text="" dxfId="6">
      <formula>$F$240</formula>
    </cfRule>
  </conditionalFormatting>
  <conditionalFormatting sqref="M33">
    <cfRule type="expression" priority="9" aboveAverage="0" equalAverage="0" bottom="0" percent="0" rank="0" text="" dxfId="7">
      <formula>$F$235</formula>
    </cfRule>
  </conditionalFormatting>
  <conditionalFormatting sqref="U19">
    <cfRule type="expression" priority="10" aboveAverage="0" equalAverage="0" bottom="0" percent="0" rank="0" text="" dxfId="8">
      <formula>$F$231</formula>
    </cfRule>
    <cfRule type="expression" priority="11" aboveAverage="0" equalAverage="0" bottom="0" percent="0" rank="0" text="" dxfId="9">
      <formula>#ref!</formula>
    </cfRule>
  </conditionalFormatting>
  <conditionalFormatting sqref="E23">
    <cfRule type="expression" priority="12" aboveAverage="0" equalAverage="0" bottom="0" percent="0" rank="0" text="" dxfId="10">
      <formula>$H$246</formula>
    </cfRule>
  </conditionalFormatting>
  <conditionalFormatting sqref="E22">
    <cfRule type="expression" priority="13" aboveAverage="0" equalAverage="0" bottom="0" percent="0" rank="0" text="" dxfId="11">
      <formula>$F$248</formula>
    </cfRule>
  </conditionalFormatting>
  <dataValidations count="14">
    <dataValidation allowBlank="true" operator="between" showDropDown="false" showErrorMessage="true" showInputMessage="true" sqref="T34" type="list">
      <formula1>$O$152:$O$153</formula1>
      <formula2>0</formula2>
    </dataValidation>
    <dataValidation allowBlank="true" operator="between" showDropDown="false" showErrorMessage="true" showInputMessage="true" sqref="M35" type="list">
      <formula1>$I$135:$I$142</formula1>
      <formula2>0</formula2>
    </dataValidation>
    <dataValidation allowBlank="true" operator="between" showDropDown="false" showErrorMessage="true" showInputMessage="true" sqref="O79:S79" type="list">
      <formula1>$O$190:$O$198</formula1>
      <formula2>0</formula2>
    </dataValidation>
    <dataValidation allowBlank="true" operator="between" showDropDown="false" showErrorMessage="true" showInputMessage="true" sqref="G35" type="list">
      <formula1>$I$151:$I$152</formula1>
      <formula2>0</formula2>
    </dataValidation>
    <dataValidation allowBlank="true" operator="between" showDropDown="false" showErrorMessage="true" showInputMessage="true" sqref="I30" type="list">
      <formula1>$I$88:$I$91</formula1>
      <formula2>0</formula2>
    </dataValidation>
    <dataValidation allowBlank="true" operator="between" showDropDown="false" showErrorMessage="true" showInputMessage="true" sqref="I10" type="list">
      <formula1>$O$116:$O$123</formula1>
      <formula2>0</formula2>
    </dataValidation>
    <dataValidation allowBlank="true" operator="between" showDropDown="false" showErrorMessage="true" showInputMessage="true" sqref="I51" type="list">
      <formula1>$I$148:$I$149</formula1>
      <formula2>0</formula2>
    </dataValidation>
    <dataValidation allowBlank="true" operator="between" showDropDown="false" showErrorMessage="true" showInputMessage="true" sqref="R35" type="list">
      <formula1>$I$145:$I$146</formula1>
      <formula2>0</formula2>
    </dataValidation>
    <dataValidation allowBlank="true" operator="between" showDropDown="false" showErrorMessage="true" showInputMessage="true" sqref="O56" type="list">
      <formula1>$I$125:$I$132</formula1>
      <formula2>0</formula2>
    </dataValidation>
    <dataValidation allowBlank="true" operator="between" showDropDown="false" showErrorMessage="true" showInputMessage="true" sqref="R17" type="list">
      <formula1>$I$115:$I$122</formula1>
      <formula2>0</formula2>
    </dataValidation>
    <dataValidation allowBlank="true" operator="between" showDropDown="false" showErrorMessage="true" showInputMessage="true" sqref="O17" type="list">
      <formula1>$I$105:$I$112</formula1>
      <formula2>0</formula2>
    </dataValidation>
    <dataValidation allowBlank="true" operator="between" showDropDown="false" showErrorMessage="true" showInputMessage="true" sqref="L17" type="list">
      <formula1>$I$94:$I$101</formula1>
      <formula2>0</formula2>
    </dataValidation>
    <dataValidation allowBlank="true" operator="between" showDropDown="false" showErrorMessage="true" showInputMessage="true" sqref="Q45" type="list">
      <formula1>$I$154:$I$157</formula1>
      <formula2>0</formula2>
    </dataValidation>
    <dataValidation allowBlank="true" operator="between" showDropDown="false" showErrorMessage="true" showInputMessage="true" sqref="S27 S30 S33 S36 S39 S42" type="list">
      <formula1>$D$89:$D$224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X289"/>
  <sheetViews>
    <sheetView windowProtection="false"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N133" activeCellId="0" sqref="N133"/>
    </sheetView>
  </sheetViews>
  <sheetFormatPr defaultRowHeight="13.8"/>
  <cols>
    <col collapsed="false" hidden="false" max="1" min="1" style="1" width="4.66326530612245"/>
    <col collapsed="false" hidden="false" max="2" min="2" style="1" width="4.78061224489796"/>
    <col collapsed="false" hidden="false" max="3" min="3" style="1" width="4.88775510204082"/>
    <col collapsed="false" hidden="false" max="4" min="4" style="1" width="8.33163265306122"/>
    <col collapsed="false" hidden="false" max="5" min="5" style="1" width="5.77551020408163"/>
    <col collapsed="false" hidden="false" max="6" min="6" style="1" width="8.55612244897959"/>
    <col collapsed="false" hidden="false" max="7" min="7" style="1" width="8.77551020408163"/>
    <col collapsed="false" hidden="false" max="9" min="8" style="1" width="10.7704081632653"/>
    <col collapsed="false" hidden="false" max="10" min="10" style="1" width="9.21428571428571"/>
    <col collapsed="false" hidden="false" max="11" min="11" style="1" width="10.7704081632653"/>
    <col collapsed="false" hidden="false" max="12" min="12" style="1" width="6.88265306122449"/>
    <col collapsed="false" hidden="false" max="13" min="13" style="1" width="7.44387755102041"/>
    <col collapsed="false" hidden="false" max="14" min="14" style="1" width="10.7704081632653"/>
    <col collapsed="false" hidden="false" max="15" min="15" style="1" width="9.66326530612245"/>
    <col collapsed="false" hidden="false" max="16" min="16" style="1" width="5.77551020408163"/>
    <col collapsed="false" hidden="false" max="17" min="17" style="1" width="10.7704081632653"/>
    <col collapsed="false" hidden="false" max="18" min="18" style="1" width="8.10714285714286"/>
    <col collapsed="false" hidden="false" max="19" min="19" style="1" width="5.77551020408163"/>
    <col collapsed="false" hidden="false" max="20" min="20" style="1" width="7.21938775510204"/>
    <col collapsed="false" hidden="false" max="22" min="21" style="1" width="6.77551020408163"/>
    <col collapsed="false" hidden="false" max="23" min="23" style="1" width="9.55612244897959"/>
    <col collapsed="false" hidden="false" max="1025" min="24" style="1" width="8.89285714285714"/>
  </cols>
  <sheetData>
    <row r="1" customFormat="false" ht="13.8" hidden="false" customHeight="false" outlineLevel="0" collapsed="false"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</row>
    <row r="2" customFormat="false" ht="28.2" hidden="false" customHeight="false" outlineLevel="0" collapsed="false">
      <c r="C2" s="0"/>
      <c r="D2" s="0"/>
      <c r="E2" s="0"/>
      <c r="F2" s="0"/>
      <c r="G2" s="2" t="s">
        <v>239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</row>
    <row r="3" customFormat="false" ht="13.8" hidden="false" customHeight="false" outlineLevel="0" collapsed="false"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</row>
    <row r="4" customFormat="false" ht="13.8" hidden="false" customHeight="false" outlineLevel="0" collapsed="false"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</row>
    <row r="5" customFormat="false" ht="13.8" hidden="false" customHeight="false" outlineLevel="0" collapsed="false"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</row>
    <row r="6" customFormat="false" ht="13.8" hidden="false" customHeight="false" outlineLevel="0" collapsed="false">
      <c r="C6" s="0"/>
      <c r="D6" s="0"/>
      <c r="E6" s="1" t="s">
        <v>1</v>
      </c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</row>
    <row r="7" customFormat="false" ht="13.8" hidden="false" customHeight="false" outlineLevel="0" collapsed="false"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</row>
    <row r="8" customFormat="false" ht="13.8" hidden="false" customHeight="false" outlineLevel="0" collapsed="false"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</row>
    <row r="9" customFormat="false" ht="13.8" hidden="false" customHeight="false" outlineLevel="0" collapsed="false"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3" t="s">
        <v>2</v>
      </c>
      <c r="Q9" s="0"/>
      <c r="R9" s="0"/>
      <c r="S9" s="0"/>
      <c r="T9" s="0"/>
      <c r="U9" s="0"/>
      <c r="V9" s="0"/>
      <c r="W9" s="0"/>
      <c r="X9" s="0"/>
    </row>
    <row r="10" customFormat="false" ht="13.8" hidden="false" customHeight="false" outlineLevel="0" collapsed="false">
      <c r="C10" s="0"/>
      <c r="D10" s="0"/>
      <c r="E10" s="0"/>
      <c r="F10" s="0"/>
      <c r="G10" s="0"/>
      <c r="H10" s="4" t="s">
        <v>3</v>
      </c>
      <c r="I10" s="5" t="s">
        <v>4</v>
      </c>
      <c r="J10" s="5"/>
      <c r="K10" s="0"/>
      <c r="L10" s="0"/>
      <c r="M10" s="0"/>
      <c r="N10" s="0"/>
      <c r="O10" s="0"/>
      <c r="P10" s="3" t="s">
        <v>240</v>
      </c>
      <c r="Q10" s="0"/>
      <c r="R10" s="0"/>
      <c r="S10" s="0"/>
      <c r="T10" s="0"/>
      <c r="U10" s="0"/>
      <c r="V10" s="0"/>
      <c r="W10" s="0"/>
      <c r="X10" s="0"/>
    </row>
    <row r="11" customFormat="false" ht="14.4" hidden="false" customHeight="true" outlineLevel="0" collapsed="false">
      <c r="C11" s="0"/>
      <c r="D11" s="0"/>
      <c r="E11" s="0"/>
      <c r="F11" s="4" t="n">
        <v>8</v>
      </c>
      <c r="G11" s="1" t="s">
        <v>6</v>
      </c>
      <c r="H11" s="0"/>
      <c r="I11" s="0"/>
      <c r="J11" s="0"/>
      <c r="K11" s="0"/>
      <c r="L11" s="0"/>
      <c r="M11" s="0"/>
      <c r="N11" s="0"/>
      <c r="O11" s="0"/>
      <c r="P11" s="3" t="s">
        <v>7</v>
      </c>
      <c r="Q11" s="0"/>
      <c r="R11" s="0"/>
      <c r="S11" s="0"/>
      <c r="T11" s="0"/>
      <c r="U11" s="0"/>
      <c r="V11" s="0"/>
      <c r="W11" s="0"/>
      <c r="X11" s="0"/>
    </row>
    <row r="12" customFormat="false" ht="13.8" hidden="false" customHeight="false" outlineLevel="0" collapsed="false">
      <c r="C12" s="0"/>
      <c r="D12" s="0"/>
      <c r="E12" s="0"/>
      <c r="F12" s="0"/>
      <c r="G12" s="0"/>
      <c r="H12" s="0"/>
      <c r="I12" s="0"/>
      <c r="J12" s="0"/>
      <c r="K12" s="0"/>
      <c r="L12" s="4" t="n">
        <f aca="false">F11/R126</f>
        <v>4</v>
      </c>
      <c r="M12" s="1" t="s">
        <v>6</v>
      </c>
      <c r="N12" s="0"/>
      <c r="O12" s="0"/>
      <c r="P12" s="3" t="s">
        <v>8</v>
      </c>
      <c r="Q12" s="0"/>
      <c r="R12" s="0"/>
      <c r="S12" s="0"/>
      <c r="T12" s="0"/>
      <c r="U12" s="0"/>
      <c r="V12" s="0"/>
      <c r="W12" s="0"/>
      <c r="X12" s="0"/>
    </row>
    <row r="13" customFormat="false" ht="13.8" hidden="false" customHeight="false" outlineLevel="0" collapsed="false">
      <c r="C13" s="0"/>
      <c r="D13" s="0"/>
      <c r="E13" s="0"/>
      <c r="F13" s="0"/>
      <c r="G13" s="0"/>
      <c r="H13" s="6"/>
      <c r="I13" s="0"/>
      <c r="J13" s="0"/>
      <c r="K13" s="0"/>
      <c r="L13" s="7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</row>
    <row r="14" customFormat="false" ht="13.8" hidden="false" customHeight="false" outlineLevel="0" collapsed="false">
      <c r="C14" s="0"/>
      <c r="D14" s="0"/>
      <c r="E14" s="0"/>
      <c r="F14" s="0"/>
      <c r="G14" s="0"/>
      <c r="H14" s="0"/>
      <c r="I14" s="0"/>
      <c r="J14" s="0"/>
      <c r="K14" s="0"/>
      <c r="L14" s="9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</row>
    <row r="15" customFormat="false" ht="13.8" hidden="false" customHeight="false" outlineLevel="0" collapsed="false"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</row>
    <row r="16" customFormat="false" ht="13.8" hidden="false" customHeight="false" outlineLevel="0" collapsed="false">
      <c r="C16" s="0"/>
      <c r="D16" s="0"/>
      <c r="E16" s="0"/>
      <c r="F16" s="0"/>
      <c r="G16" s="0"/>
      <c r="H16" s="4" t="s">
        <v>241</v>
      </c>
      <c r="I16" s="11" t="s">
        <v>242</v>
      </c>
      <c r="J16" s="0"/>
      <c r="K16" s="1" t="s">
        <v>10</v>
      </c>
      <c r="L16" s="11" t="s">
        <v>67</v>
      </c>
      <c r="M16" s="0"/>
      <c r="N16" s="4" t="s">
        <v>243</v>
      </c>
      <c r="O16" s="11" t="s">
        <v>244</v>
      </c>
      <c r="P16" s="0"/>
      <c r="Q16" s="4" t="s">
        <v>14</v>
      </c>
      <c r="R16" s="11" t="s">
        <v>11</v>
      </c>
      <c r="S16" s="0"/>
      <c r="T16" s="0"/>
      <c r="U16" s="0"/>
      <c r="V16" s="0"/>
      <c r="W16" s="0"/>
      <c r="X16" s="0"/>
    </row>
    <row r="17" customFormat="false" ht="13.8" hidden="false" customHeight="false" outlineLevel="0" collapsed="false"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</row>
    <row r="18" customFormat="false" ht="13.8" hidden="false" customHeight="false" outlineLevel="0" collapsed="false"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9" t="n">
        <f aca="false">P19/J110</f>
        <v>200</v>
      </c>
      <c r="V18" s="1" t="s">
        <v>6</v>
      </c>
      <c r="W18" s="0"/>
      <c r="X18" s="0"/>
    </row>
    <row r="19" customFormat="false" ht="13.8" hidden="false" customHeight="false" outlineLevel="0" collapsed="false">
      <c r="C19" s="0"/>
      <c r="D19" s="0"/>
      <c r="E19" s="0"/>
      <c r="F19" s="0"/>
      <c r="G19" s="0"/>
      <c r="H19" s="0"/>
      <c r="I19" s="0"/>
      <c r="J19" s="12" t="n">
        <f aca="false">IF(I16="PLL_FRC", F11, F25)</f>
        <v>8</v>
      </c>
      <c r="K19" s="0"/>
      <c r="L19" s="0"/>
      <c r="M19" s="12" t="n">
        <f aca="false">J19/J103</f>
        <v>8</v>
      </c>
      <c r="N19" s="0"/>
      <c r="O19" s="0"/>
      <c r="P19" s="9" t="n">
        <f aca="false">IF(O23="Bypass",M19,M19*F217)</f>
        <v>400</v>
      </c>
      <c r="Q19" s="0"/>
      <c r="R19" s="0"/>
      <c r="S19" s="0"/>
      <c r="T19" s="0"/>
      <c r="U19" s="0"/>
      <c r="V19" s="0"/>
      <c r="W19" s="0"/>
      <c r="X19" s="0"/>
    </row>
    <row r="20" customFormat="false" ht="13.8" hidden="false" customHeight="false" outlineLevel="0" collapsed="false"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</row>
    <row r="21" customFormat="false" ht="13.8" hidden="false" customHeight="false" outlineLevel="0" collapsed="false"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</row>
    <row r="22" customFormat="false" ht="13.8" hidden="false" customHeight="false" outlineLevel="0" collapsed="false">
      <c r="C22" s="0"/>
      <c r="D22" s="4" t="s">
        <v>15</v>
      </c>
      <c r="E22" s="13" t="n">
        <v>12</v>
      </c>
      <c r="F22" s="1" t="s">
        <v>6</v>
      </c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</row>
    <row r="23" customFormat="false" ht="13.8" hidden="false" customHeight="false" outlineLevel="0" collapsed="false">
      <c r="C23" s="0"/>
      <c r="D23" s="4" t="s">
        <v>16</v>
      </c>
      <c r="E23" s="11" t="n">
        <v>22</v>
      </c>
      <c r="F23" s="1" t="s">
        <v>6</v>
      </c>
      <c r="G23" s="0"/>
      <c r="H23" s="0"/>
      <c r="I23" s="0"/>
      <c r="J23" s="0"/>
      <c r="K23" s="0"/>
      <c r="L23" s="0"/>
      <c r="M23" s="0"/>
      <c r="N23" s="4" t="s">
        <v>245</v>
      </c>
      <c r="O23" s="5" t="s">
        <v>246</v>
      </c>
      <c r="P23" s="5"/>
      <c r="Q23" s="5"/>
      <c r="R23" s="0"/>
      <c r="S23" s="0"/>
      <c r="T23" s="0"/>
      <c r="U23" s="0"/>
      <c r="V23" s="0"/>
      <c r="W23" s="0"/>
      <c r="X23" s="0"/>
    </row>
    <row r="24" customFormat="false" ht="13.8" hidden="false" customHeight="false" outlineLevel="0" collapsed="false"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</row>
    <row r="25" customFormat="false" ht="13.8" hidden="false" customHeight="false" outlineLevel="0" collapsed="false">
      <c r="C25" s="0"/>
      <c r="D25" s="0"/>
      <c r="E25" s="4" t="s">
        <v>17</v>
      </c>
      <c r="F25" s="14" t="n">
        <f aca="false">IF(I30="HS",E23,IF(I30="EC",E22,0))</f>
        <v>12</v>
      </c>
      <c r="G25" s="1" t="str">
        <f aca="false">F23</f>
        <v>MHz</v>
      </c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</row>
    <row r="26" customFormat="false" ht="13.8" hidden="false" customHeight="false" outlineLevel="0" collapsed="false">
      <c r="C26" s="0"/>
      <c r="D26" s="0"/>
      <c r="E26" s="4" t="s">
        <v>18</v>
      </c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</row>
    <row r="27" customFormat="false" ht="13.8" hidden="false" customHeight="false" outlineLevel="0" collapsed="false"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4" t="s">
        <v>247</v>
      </c>
      <c r="S27" s="22" t="n">
        <v>2</v>
      </c>
      <c r="T27" s="0"/>
      <c r="U27" s="0"/>
      <c r="V27" s="0"/>
      <c r="W27" s="0"/>
      <c r="X27" s="0"/>
    </row>
    <row r="28" customFormat="false" ht="13.8" hidden="false" customHeight="false" outlineLevel="0" collapsed="false">
      <c r="C28" s="0"/>
      <c r="D28" s="0"/>
      <c r="E28" s="0"/>
      <c r="F28" s="0"/>
      <c r="G28" s="0"/>
      <c r="H28" s="0"/>
      <c r="I28" s="0"/>
      <c r="J28" s="0"/>
      <c r="K28" s="4"/>
      <c r="L28" s="4" t="s">
        <v>248</v>
      </c>
      <c r="M28" s="22" t="s">
        <v>249</v>
      </c>
      <c r="N28" s="22"/>
      <c r="O28" s="0"/>
      <c r="P28" s="0"/>
      <c r="Q28" s="0"/>
      <c r="R28" s="0"/>
      <c r="S28" s="0"/>
      <c r="T28" s="0"/>
      <c r="U28" s="0"/>
      <c r="V28" s="1" t="n">
        <f aca="false">$R$49/S27</f>
        <v>100</v>
      </c>
      <c r="W28" s="1" t="s">
        <v>6</v>
      </c>
      <c r="X28" s="0"/>
    </row>
    <row r="29" customFormat="false" ht="13.8" hidden="false" customHeight="false" outlineLevel="0" collapsed="false"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</row>
    <row r="30" customFormat="false" ht="13.8" hidden="false" customHeight="false" outlineLevel="0" collapsed="false">
      <c r="C30" s="0"/>
      <c r="D30" s="0"/>
      <c r="E30" s="4" t="s">
        <v>19</v>
      </c>
      <c r="F30" s="0"/>
      <c r="G30" s="0"/>
      <c r="H30" s="4" t="s">
        <v>20</v>
      </c>
      <c r="I30" s="17" t="s">
        <v>21</v>
      </c>
      <c r="J30" s="0"/>
      <c r="K30" s="0"/>
      <c r="L30" s="0"/>
      <c r="M30" s="0"/>
      <c r="N30" s="0"/>
      <c r="O30" s="0"/>
      <c r="P30" s="0"/>
      <c r="Q30" s="0"/>
      <c r="R30" s="4" t="s">
        <v>247</v>
      </c>
      <c r="S30" s="22" t="n">
        <v>2</v>
      </c>
      <c r="T30" s="0"/>
      <c r="U30" s="0"/>
      <c r="V30" s="0"/>
      <c r="W30" s="0"/>
      <c r="X30" s="0"/>
    </row>
    <row r="31" customFormat="false" ht="13.8" hidden="false" customHeight="false" outlineLevel="0" collapsed="false">
      <c r="C31" s="0"/>
      <c r="D31" s="0"/>
      <c r="E31" s="4" t="s">
        <v>22</v>
      </c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1" t="n">
        <f aca="false">$R$49/S30</f>
        <v>100</v>
      </c>
      <c r="W31" s="1" t="s">
        <v>6</v>
      </c>
      <c r="X31" s="0"/>
    </row>
    <row r="32" customFormat="false" ht="13.8" hidden="false" customHeight="false" outlineLevel="0" collapsed="false">
      <c r="C32" s="0"/>
      <c r="D32" s="0"/>
      <c r="E32" s="4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</row>
    <row r="33" customFormat="false" ht="13.8" hidden="false" customHeight="false" outlineLevel="0" collapsed="false">
      <c r="C33" s="0"/>
      <c r="D33" s="0"/>
      <c r="E33" s="4"/>
      <c r="F33" s="0"/>
      <c r="G33" s="0"/>
      <c r="H33" s="0"/>
      <c r="I33" s="19" t="n">
        <f aca="false">V28/2</f>
        <v>50</v>
      </c>
      <c r="J33" s="1" t="s">
        <v>6</v>
      </c>
      <c r="K33" s="0"/>
      <c r="L33" s="0"/>
      <c r="M33" s="0"/>
      <c r="N33" s="0"/>
      <c r="O33" s="0"/>
      <c r="P33" s="0"/>
      <c r="Q33" s="0"/>
      <c r="R33" s="4" t="s">
        <v>247</v>
      </c>
      <c r="S33" s="22" t="n">
        <v>2</v>
      </c>
      <c r="T33" s="0"/>
      <c r="U33" s="0"/>
      <c r="V33" s="0"/>
      <c r="W33" s="0"/>
      <c r="X33" s="0"/>
    </row>
    <row r="34" customFormat="false" ht="13.8" hidden="false" customHeight="false" outlineLevel="0" collapsed="false">
      <c r="C34" s="0"/>
      <c r="D34" s="0"/>
      <c r="E34" s="4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1" t="n">
        <f aca="false">$R$49/S33</f>
        <v>100</v>
      </c>
      <c r="W34" s="1" t="s">
        <v>6</v>
      </c>
      <c r="X34" s="0"/>
    </row>
    <row r="35" customFormat="false" ht="13.8" hidden="false" customHeight="false" outlineLevel="0" collapsed="false">
      <c r="C35" s="0"/>
      <c r="D35" s="0"/>
      <c r="E35" s="4"/>
      <c r="F35" s="4" t="s">
        <v>25</v>
      </c>
      <c r="G35" s="11" t="s">
        <v>26</v>
      </c>
      <c r="H35" s="0"/>
      <c r="I35" s="0"/>
      <c r="J35" s="0"/>
      <c r="K35" s="0"/>
      <c r="L35" s="4" t="s">
        <v>125</v>
      </c>
      <c r="M35" s="11" t="s">
        <v>26</v>
      </c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</row>
    <row r="36" customFormat="false" ht="13.8" hidden="false" customHeight="false" outlineLevel="0" collapsed="false">
      <c r="C36" s="0"/>
      <c r="D36" s="0"/>
      <c r="E36" s="4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4" t="s">
        <v>247</v>
      </c>
      <c r="S36" s="22" t="n">
        <v>2</v>
      </c>
      <c r="T36" s="0"/>
      <c r="U36" s="0"/>
      <c r="V36" s="0"/>
      <c r="W36" s="0"/>
      <c r="X36" s="0"/>
    </row>
    <row r="37" customFormat="false" ht="13.8" hidden="false" customHeight="false" outlineLevel="0" collapsed="false">
      <c r="C37" s="0"/>
      <c r="D37" s="0"/>
      <c r="E37" s="4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1" t="n">
        <f aca="false">$R$49/S36</f>
        <v>100</v>
      </c>
      <c r="W37" s="1" t="s">
        <v>6</v>
      </c>
      <c r="X37" s="0"/>
    </row>
    <row r="38" customFormat="false" ht="13.8" hidden="false" customHeight="false" outlineLevel="0" collapsed="false">
      <c r="C38" s="0"/>
      <c r="D38" s="0"/>
      <c r="E38" s="4"/>
      <c r="F38" s="1" t="n">
        <v>8</v>
      </c>
      <c r="G38" s="6" t="s">
        <v>6</v>
      </c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</row>
    <row r="39" customFormat="false" ht="13.8" hidden="false" customHeight="false" outlineLevel="0" collapsed="false">
      <c r="C39" s="0"/>
      <c r="D39" s="0"/>
      <c r="E39" s="4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4" t="s">
        <v>247</v>
      </c>
      <c r="S39" s="22" t="n">
        <v>2</v>
      </c>
      <c r="T39" s="0"/>
      <c r="U39" s="0"/>
      <c r="V39" s="0"/>
      <c r="W39" s="0"/>
      <c r="X39" s="0"/>
    </row>
    <row r="40" customFormat="false" ht="13.8" hidden="false" customHeight="false" outlineLevel="0" collapsed="false">
      <c r="C40" s="0"/>
      <c r="D40" s="0"/>
      <c r="E40" s="4"/>
      <c r="F40" s="0"/>
      <c r="G40" s="0"/>
      <c r="H40" s="0"/>
      <c r="I40" s="0"/>
      <c r="J40" s="0"/>
      <c r="K40" s="0"/>
      <c r="L40" s="0"/>
      <c r="M40" s="1" t="n">
        <f aca="false">$L$12</f>
        <v>4</v>
      </c>
      <c r="N40" s="1" t="s">
        <v>6</v>
      </c>
      <c r="O40" s="0"/>
      <c r="P40" s="0"/>
      <c r="Q40" s="0"/>
      <c r="R40" s="0"/>
      <c r="S40" s="0"/>
      <c r="T40" s="0"/>
      <c r="U40" s="0"/>
      <c r="V40" s="1" t="n">
        <f aca="false">$R$49/S39</f>
        <v>100</v>
      </c>
      <c r="W40" s="1" t="s">
        <v>6</v>
      </c>
      <c r="X40" s="0"/>
    </row>
    <row r="41" customFormat="false" ht="13.8" hidden="false" customHeight="false" outlineLevel="0" collapsed="false"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</row>
    <row r="42" customFormat="false" ht="13.8" hidden="false" customHeight="false" outlineLevel="0" collapsed="false">
      <c r="C42" s="0"/>
      <c r="D42" s="0"/>
      <c r="E42" s="4"/>
      <c r="F42" s="1" t="n">
        <v>32</v>
      </c>
      <c r="G42" s="6" t="s">
        <v>30</v>
      </c>
      <c r="H42" s="0"/>
      <c r="I42" s="0"/>
      <c r="J42" s="0"/>
      <c r="K42" s="0"/>
      <c r="L42" s="0"/>
      <c r="M42" s="1" t="n">
        <f aca="false">$U$18</f>
        <v>200</v>
      </c>
      <c r="N42" s="1" t="s">
        <v>6</v>
      </c>
      <c r="O42" s="0"/>
      <c r="P42" s="0"/>
      <c r="Q42" s="0"/>
      <c r="R42" s="4" t="s">
        <v>247</v>
      </c>
      <c r="S42" s="22" t="n">
        <v>1</v>
      </c>
      <c r="T42" s="0"/>
      <c r="U42" s="0"/>
      <c r="V42" s="0"/>
      <c r="W42" s="0"/>
      <c r="X42" s="0"/>
    </row>
    <row r="43" customFormat="false" ht="13.8" hidden="false" customHeight="false" outlineLevel="0" collapsed="false">
      <c r="C43" s="0"/>
      <c r="D43" s="0"/>
      <c r="E43" s="4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1" t="n">
        <f aca="false">$R$49/S42</f>
        <v>200</v>
      </c>
      <c r="W43" s="1" t="s">
        <v>6</v>
      </c>
      <c r="X43" s="0"/>
    </row>
    <row r="44" customFormat="false" ht="13.8" hidden="false" customHeight="false" outlineLevel="0" collapsed="false">
      <c r="C44" s="0"/>
      <c r="D44" s="0"/>
      <c r="E44" s="4"/>
      <c r="F44" s="0"/>
      <c r="G44" s="0"/>
      <c r="H44" s="0"/>
      <c r="I44" s="0"/>
      <c r="J44" s="0"/>
      <c r="K44" s="0"/>
      <c r="L44" s="0"/>
      <c r="M44" s="1" t="n">
        <f aca="false">$F$25</f>
        <v>12</v>
      </c>
      <c r="N44" s="1" t="s">
        <v>6</v>
      </c>
      <c r="O44" s="0"/>
      <c r="P44" s="0"/>
      <c r="Q44" s="0"/>
      <c r="R44" s="0"/>
      <c r="S44" s="0"/>
      <c r="T44" s="0"/>
      <c r="U44" s="0"/>
      <c r="V44" s="0"/>
      <c r="W44" s="0"/>
      <c r="X44" s="0"/>
    </row>
    <row r="45" customFormat="false" ht="13.8" hidden="false" customHeight="false" outlineLevel="0" collapsed="false">
      <c r="C45" s="0"/>
      <c r="D45" s="0"/>
      <c r="E45" s="4"/>
      <c r="F45" s="0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4" t="s">
        <v>247</v>
      </c>
      <c r="S45" s="22" t="n">
        <v>2</v>
      </c>
      <c r="T45" s="0"/>
      <c r="U45" s="0"/>
      <c r="V45" s="0"/>
      <c r="W45" s="0"/>
      <c r="X45" s="0"/>
    </row>
    <row r="46" customFormat="false" ht="13.8" hidden="false" customHeight="false" outlineLevel="0" collapsed="false">
      <c r="C46" s="0"/>
      <c r="D46" s="4" t="s">
        <v>16</v>
      </c>
      <c r="E46" s="11" t="n">
        <v>32.768</v>
      </c>
      <c r="F46" s="1" t="s">
        <v>30</v>
      </c>
      <c r="G46" s="1" t="n">
        <f aca="false">IF($I$51="ON", $E$46, 0)</f>
        <v>32.768</v>
      </c>
      <c r="H46" s="1" t="s">
        <v>30</v>
      </c>
      <c r="I46" s="0"/>
      <c r="J46" s="0"/>
      <c r="K46" s="0"/>
      <c r="L46" s="0"/>
      <c r="M46" s="1" t="n">
        <v>8</v>
      </c>
      <c r="N46" s="1" t="s">
        <v>6</v>
      </c>
      <c r="O46" s="0"/>
      <c r="P46" s="0"/>
      <c r="Q46" s="0"/>
      <c r="R46" s="0"/>
      <c r="S46" s="0"/>
      <c r="T46" s="0"/>
      <c r="U46" s="0"/>
      <c r="V46" s="1" t="n">
        <f aca="false">$R$49/S45</f>
        <v>100</v>
      </c>
      <c r="W46" s="1" t="s">
        <v>6</v>
      </c>
      <c r="X46" s="0"/>
    </row>
    <row r="47" customFormat="false" ht="13.8" hidden="false" customHeight="false" outlineLevel="0" collapsed="false">
      <c r="C47" s="0"/>
      <c r="D47" s="0"/>
      <c r="E47" s="4" t="s">
        <v>32</v>
      </c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</row>
    <row r="48" customFormat="false" ht="13.8" hidden="false" customHeight="false" outlineLevel="0" collapsed="false">
      <c r="C48" s="0"/>
      <c r="D48" s="0"/>
      <c r="E48" s="4"/>
      <c r="F48" s="0"/>
      <c r="G48" s="0"/>
      <c r="H48" s="0"/>
      <c r="I48" s="0"/>
      <c r="J48" s="0"/>
      <c r="K48" s="0"/>
      <c r="L48" s="0"/>
      <c r="M48" s="1" t="n">
        <v>32</v>
      </c>
      <c r="N48" s="1" t="s">
        <v>30</v>
      </c>
      <c r="O48" s="0"/>
      <c r="P48" s="0"/>
      <c r="Q48" s="0"/>
      <c r="R48" s="0"/>
      <c r="S48" s="0"/>
      <c r="T48" s="0"/>
      <c r="U48" s="0"/>
      <c r="V48" s="0"/>
      <c r="W48" s="0"/>
      <c r="X48" s="0"/>
    </row>
    <row r="49" customFormat="false" ht="13.8" hidden="false" customHeight="false" outlineLevel="0" collapsed="false">
      <c r="C49" s="0"/>
      <c r="D49" s="0"/>
      <c r="E49" s="4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1" t="n">
        <f aca="false">K118</f>
        <v>200</v>
      </c>
      <c r="S49" s="1" t="s">
        <v>6</v>
      </c>
      <c r="T49" s="0"/>
      <c r="U49" s="0"/>
      <c r="V49" s="0"/>
      <c r="W49" s="0"/>
      <c r="X49" s="0"/>
    </row>
    <row r="50" customFormat="false" ht="13.8" hidden="false" customHeight="false" outlineLevel="0" collapsed="false">
      <c r="C50" s="0"/>
      <c r="D50" s="0"/>
      <c r="E50" s="4"/>
      <c r="F50" s="0"/>
      <c r="G50" s="0"/>
      <c r="H50" s="0"/>
      <c r="I50" s="0"/>
      <c r="J50" s="0"/>
      <c r="K50" s="0"/>
      <c r="L50" s="0"/>
      <c r="M50" s="24" t="n">
        <f aca="false">$G$46</f>
        <v>32.768</v>
      </c>
      <c r="N50" s="1" t="s">
        <v>30</v>
      </c>
      <c r="O50" s="0"/>
      <c r="P50" s="0"/>
      <c r="Q50" s="0"/>
      <c r="R50" s="0"/>
      <c r="S50" s="0"/>
      <c r="T50" s="0"/>
      <c r="U50" s="0"/>
      <c r="V50" s="0"/>
      <c r="W50" s="0"/>
      <c r="X50" s="0"/>
    </row>
    <row r="51" customFormat="false" ht="13.8" hidden="false" customHeight="false" outlineLevel="0" collapsed="false">
      <c r="C51" s="0"/>
      <c r="D51" s="0"/>
      <c r="E51" s="0"/>
      <c r="F51" s="0"/>
      <c r="G51" s="0"/>
      <c r="H51" s="4" t="s">
        <v>33</v>
      </c>
      <c r="I51" s="11" t="s">
        <v>26</v>
      </c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</row>
    <row r="52" customFormat="false" ht="13.8" hidden="false" customHeight="false" outlineLevel="0" collapsed="false">
      <c r="C52" s="0"/>
      <c r="D52" s="0"/>
      <c r="E52" s="4" t="s">
        <v>34</v>
      </c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</row>
    <row r="53" customFormat="false" ht="13.8" hidden="false" customHeight="false" outlineLevel="0" collapsed="false">
      <c r="C53" s="0"/>
      <c r="D53" s="0"/>
      <c r="E53" s="4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</row>
    <row r="54" customFormat="false" ht="13.8" hidden="false" customHeight="false" outlineLevel="0" collapsed="false"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4" t="s">
        <v>35</v>
      </c>
      <c r="O54" s="11" t="s">
        <v>250</v>
      </c>
      <c r="P54" s="0"/>
      <c r="Q54" s="0"/>
      <c r="R54" s="0"/>
      <c r="S54" s="0"/>
      <c r="T54" s="0"/>
      <c r="U54" s="0"/>
      <c r="V54" s="0"/>
      <c r="W54" s="0"/>
      <c r="X54" s="0"/>
    </row>
    <row r="55" customFormat="false" ht="13.8" hidden="false" customHeight="false" outlineLevel="0" collapsed="false"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9"/>
      <c r="T55" s="0"/>
      <c r="U55" s="12"/>
      <c r="V55" s="0"/>
      <c r="W55" s="0"/>
      <c r="X55" s="0"/>
    </row>
    <row r="56" customFormat="false" ht="15.6" hidden="false" customHeight="false" outlineLevel="0" collapsed="false">
      <c r="C56" s="0"/>
      <c r="D56" s="0"/>
      <c r="E56" s="0"/>
      <c r="F56" s="0"/>
      <c r="G56" s="0"/>
      <c r="H56" s="25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9"/>
      <c r="V56" s="0"/>
      <c r="W56" s="0"/>
      <c r="X56" s="0"/>
    </row>
    <row r="57" customFormat="false" ht="13.8" hidden="false" customHeight="false" outlineLevel="0" collapsed="false"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9"/>
      <c r="V57" s="0"/>
      <c r="W57" s="0"/>
      <c r="X57" s="0"/>
    </row>
    <row r="58" customFormat="false" ht="13.8" hidden="false" customHeight="false" outlineLevel="0" collapsed="false"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</row>
    <row r="59" customFormat="false" ht="13.8" hidden="false" customHeight="false" outlineLevel="0" collapsed="false">
      <c r="C59" s="0"/>
      <c r="D59" s="0"/>
      <c r="E59" s="0"/>
      <c r="F59" s="0"/>
      <c r="G59" s="0"/>
      <c r="H59" s="0"/>
      <c r="I59" s="0"/>
      <c r="J59" s="0"/>
      <c r="K59" s="0"/>
      <c r="L59" s="0"/>
      <c r="M59" s="1" t="n">
        <v>8</v>
      </c>
      <c r="N59" s="1" t="s">
        <v>6</v>
      </c>
      <c r="O59" s="0"/>
      <c r="P59" s="0"/>
      <c r="Q59" s="0"/>
      <c r="R59" s="0"/>
      <c r="S59" s="0"/>
      <c r="T59" s="0"/>
      <c r="U59" s="0"/>
      <c r="V59" s="0"/>
      <c r="W59" s="0"/>
      <c r="X59" s="0"/>
    </row>
    <row r="60" customFormat="false" ht="13.8" hidden="false" customHeight="false" outlineLevel="0" collapsed="false"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</row>
    <row r="61" customFormat="false" ht="13.8" hidden="false" customHeight="false" outlineLevel="0" collapsed="false">
      <c r="C61" s="0"/>
      <c r="D61" s="0"/>
      <c r="E61" s="0"/>
      <c r="F61" s="0"/>
      <c r="G61" s="4" t="s">
        <v>37</v>
      </c>
      <c r="H61" s="0"/>
      <c r="I61" s="0"/>
      <c r="J61" s="0"/>
      <c r="K61" s="0"/>
      <c r="L61" s="0"/>
      <c r="M61" s="1" t="n">
        <f aca="false">$U$18</f>
        <v>200</v>
      </c>
      <c r="N61" s="1" t="s">
        <v>6</v>
      </c>
      <c r="O61" s="0"/>
      <c r="P61" s="0"/>
      <c r="Q61" s="0"/>
      <c r="R61" s="0"/>
      <c r="S61" s="0"/>
      <c r="T61" s="4"/>
      <c r="U61" s="0"/>
      <c r="V61" s="0"/>
      <c r="W61" s="0"/>
      <c r="X61" s="0"/>
    </row>
    <row r="62" customFormat="false" ht="13.8" hidden="false" customHeight="false" outlineLevel="0" collapsed="false">
      <c r="C62" s="0"/>
      <c r="D62" s="0"/>
      <c r="E62" s="0"/>
      <c r="F62" s="0"/>
      <c r="G62" s="4" t="s">
        <v>38</v>
      </c>
      <c r="H62" s="1" t="str">
        <f aca="false">O54</f>
        <v>SPLL</v>
      </c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</row>
    <row r="63" customFormat="false" ht="13.8" hidden="false" customHeight="false" outlineLevel="0" collapsed="false">
      <c r="C63" s="0"/>
      <c r="D63" s="0"/>
      <c r="E63" s="0"/>
      <c r="F63" s="0"/>
      <c r="G63" s="4" t="s">
        <v>39</v>
      </c>
      <c r="H63" s="1" t="str">
        <f aca="false">I51</f>
        <v>ON</v>
      </c>
      <c r="I63" s="0"/>
      <c r="J63" s="0"/>
      <c r="K63" s="0"/>
      <c r="L63" s="0"/>
      <c r="M63" s="1" t="n">
        <f aca="false">$F$25</f>
        <v>12</v>
      </c>
      <c r="N63" s="1" t="s">
        <v>6</v>
      </c>
      <c r="O63" s="0"/>
      <c r="P63" s="0"/>
      <c r="Q63" s="0"/>
      <c r="R63" s="0"/>
      <c r="S63" s="0"/>
      <c r="T63" s="0"/>
      <c r="U63" s="0"/>
      <c r="V63" s="0"/>
      <c r="W63" s="0"/>
      <c r="X63" s="0"/>
    </row>
    <row r="64" customFormat="false" ht="13.8" hidden="false" customHeight="false" outlineLevel="0" collapsed="false">
      <c r="C64" s="0"/>
      <c r="D64" s="0"/>
      <c r="E64" s="0"/>
      <c r="F64" s="0"/>
      <c r="G64" s="4" t="s">
        <v>40</v>
      </c>
      <c r="H64" s="1" t="str">
        <f aca="false">I30</f>
        <v>EC</v>
      </c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</row>
    <row r="65" customFormat="false" ht="13.8" hidden="false" customHeight="false" outlineLevel="0" collapsed="false">
      <c r="C65" s="0"/>
      <c r="D65" s="0"/>
      <c r="E65" s="0"/>
      <c r="F65" s="0"/>
      <c r="G65" s="4" t="s">
        <v>41</v>
      </c>
      <c r="H65" s="1" t="str">
        <f aca="false">G35</f>
        <v>ON</v>
      </c>
      <c r="I65" s="0"/>
      <c r="J65" s="0"/>
      <c r="K65" s="0"/>
      <c r="L65" s="0"/>
      <c r="M65" s="1" t="n">
        <v>8</v>
      </c>
      <c r="N65" s="1" t="s">
        <v>6</v>
      </c>
      <c r="O65" s="0"/>
      <c r="P65" s="14" t="s">
        <v>42</v>
      </c>
      <c r="Q65" s="22" t="n">
        <v>218</v>
      </c>
      <c r="R65" s="0"/>
      <c r="S65" s="0"/>
      <c r="T65" s="0"/>
      <c r="U65" s="0"/>
      <c r="V65" s="0"/>
      <c r="W65" s="0"/>
      <c r="X65" s="0"/>
    </row>
    <row r="66" customFormat="false" ht="13.8" hidden="false" customHeight="false" outlineLevel="0" collapsed="false">
      <c r="C66" s="0"/>
      <c r="D66" s="0"/>
      <c r="E66" s="0"/>
      <c r="F66" s="0"/>
      <c r="G66" s="4"/>
      <c r="H66" s="0"/>
      <c r="I66" s="0"/>
      <c r="J66" s="0"/>
      <c r="K66" s="0"/>
      <c r="L66" s="0"/>
      <c r="M66" s="0"/>
      <c r="N66" s="0"/>
      <c r="O66" s="0"/>
      <c r="P66" s="14" t="s">
        <v>44</v>
      </c>
      <c r="Q66" s="22" t="n">
        <v>5</v>
      </c>
      <c r="R66" s="26"/>
      <c r="S66" s="0"/>
      <c r="T66" s="0"/>
      <c r="U66" s="0"/>
      <c r="V66" s="0"/>
      <c r="W66" s="0"/>
      <c r="X66" s="0"/>
    </row>
    <row r="67" customFormat="false" ht="13.8" hidden="false" customHeight="false" outlineLevel="0" collapsed="false">
      <c r="C67" s="0"/>
      <c r="D67" s="0"/>
      <c r="E67" s="0"/>
      <c r="F67" s="0"/>
      <c r="G67" s="4" t="s">
        <v>45</v>
      </c>
      <c r="H67" s="0"/>
      <c r="I67" s="0"/>
      <c r="J67" s="0"/>
      <c r="K67" s="0"/>
      <c r="L67" s="0"/>
      <c r="M67" s="1" t="n">
        <v>32</v>
      </c>
      <c r="N67" s="1" t="s">
        <v>30</v>
      </c>
      <c r="O67" s="0"/>
      <c r="P67" s="0"/>
      <c r="Q67" s="0"/>
      <c r="R67" s="0"/>
      <c r="S67" s="0"/>
      <c r="T67" s="0"/>
      <c r="U67" s="0"/>
      <c r="V67" s="0"/>
      <c r="W67" s="0"/>
      <c r="X67" s="0"/>
    </row>
    <row r="68" customFormat="false" ht="13.8" hidden="false" customHeight="false" outlineLevel="0" collapsed="false">
      <c r="C68" s="0"/>
      <c r="D68" s="0"/>
      <c r="E68" s="0"/>
      <c r="F68" s="0"/>
      <c r="G68" s="4" t="s">
        <v>251</v>
      </c>
      <c r="H68" s="1" t="str">
        <f aca="false">I16</f>
        <v>PLL_FRC</v>
      </c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27" t="n">
        <f aca="false">IF($Q$66=0, $O$69, ($O$69/(2*$T$230)))</f>
        <v>18.4305255579554</v>
      </c>
      <c r="X68" s="1" t="s">
        <v>6</v>
      </c>
    </row>
    <row r="69" customFormat="false" ht="13.8" hidden="false" customHeight="false" outlineLevel="0" collapsed="false">
      <c r="C69" s="0"/>
      <c r="D69" s="0"/>
      <c r="E69" s="0"/>
      <c r="F69" s="0"/>
      <c r="G69" s="4" t="s">
        <v>46</v>
      </c>
      <c r="H69" s="1" t="str">
        <f aca="false">L16</f>
        <v>DIV_1</v>
      </c>
      <c r="I69" s="0"/>
      <c r="J69" s="0"/>
      <c r="K69" s="0"/>
      <c r="L69" s="0"/>
      <c r="M69" s="24" t="n">
        <f aca="false">$G$46</f>
        <v>32.768</v>
      </c>
      <c r="N69" s="1" t="s">
        <v>30</v>
      </c>
      <c r="O69" s="1" t="n">
        <f aca="false">U210</f>
        <v>200</v>
      </c>
      <c r="P69" s="0"/>
      <c r="Q69" s="24"/>
      <c r="R69" s="0"/>
      <c r="S69" s="0"/>
      <c r="T69" s="0"/>
      <c r="U69" s="0"/>
      <c r="V69" s="0"/>
      <c r="W69" s="0"/>
    </row>
    <row r="70" customFormat="false" ht="13.8" hidden="false" customHeight="false" outlineLevel="0" collapsed="false">
      <c r="C70" s="0"/>
      <c r="D70" s="0"/>
      <c r="E70" s="0"/>
      <c r="F70" s="0"/>
      <c r="G70" s="4" t="s">
        <v>252</v>
      </c>
      <c r="H70" s="1" t="str">
        <f aca="false">O16</f>
        <v>MUL_50</v>
      </c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</row>
    <row r="71" customFormat="false" ht="13.8" hidden="false" customHeight="false" outlineLevel="0" collapsed="false">
      <c r="C71" s="0"/>
      <c r="D71" s="0"/>
      <c r="E71" s="0"/>
      <c r="F71" s="0"/>
      <c r="G71" s="4" t="s">
        <v>49</v>
      </c>
      <c r="H71" s="1" t="str">
        <f aca="false">R16</f>
        <v>DIV_2</v>
      </c>
      <c r="I71" s="0"/>
      <c r="J71" s="0"/>
      <c r="K71" s="0"/>
      <c r="L71" s="0"/>
      <c r="M71" s="1" t="n">
        <f aca="false">V28</f>
        <v>100</v>
      </c>
      <c r="N71" s="1" t="s">
        <v>6</v>
      </c>
      <c r="O71" s="0"/>
      <c r="P71" s="0"/>
      <c r="Q71" s="0"/>
      <c r="R71" s="0"/>
      <c r="S71" s="0"/>
      <c r="T71" s="0"/>
      <c r="U71" s="0"/>
      <c r="V71" s="0"/>
      <c r="W71" s="0"/>
    </row>
    <row r="72" customFormat="false" ht="13.8" hidden="false" customHeight="false" outlineLevel="0" collapsed="false">
      <c r="C72" s="0"/>
      <c r="D72" s="0"/>
      <c r="E72" s="0"/>
      <c r="F72" s="0"/>
      <c r="G72" s="4" t="s">
        <v>253</v>
      </c>
      <c r="H72" s="1" t="str">
        <f aca="false">O23</f>
        <v>RANGE_5_10_MHZ</v>
      </c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</row>
    <row r="73" customFormat="false" ht="13.8" hidden="false" customHeight="false" outlineLevel="0" collapsed="false">
      <c r="C73" s="0"/>
      <c r="D73" s="0"/>
      <c r="E73" s="0"/>
      <c r="F73" s="0"/>
      <c r="G73" s="4" t="s">
        <v>52</v>
      </c>
      <c r="H73" s="1" t="str">
        <f aca="false">M35</f>
        <v>ON</v>
      </c>
      <c r="I73" s="0"/>
      <c r="J73" s="0"/>
      <c r="K73" s="0"/>
      <c r="L73" s="0"/>
      <c r="M73" s="1" t="n">
        <f aca="false">R49</f>
        <v>200</v>
      </c>
      <c r="N73" s="1" t="s">
        <v>6</v>
      </c>
      <c r="O73" s="0"/>
      <c r="P73" s="0"/>
      <c r="Q73" s="0"/>
      <c r="R73" s="0"/>
      <c r="S73" s="0"/>
      <c r="T73" s="0"/>
      <c r="U73" s="0"/>
      <c r="V73" s="0"/>
      <c r="W73" s="0"/>
    </row>
    <row r="74" customFormat="false" ht="13.8" hidden="false" customHeight="false" outlineLevel="0" collapsed="false">
      <c r="C74" s="0"/>
      <c r="D74" s="0"/>
      <c r="E74" s="0"/>
      <c r="F74" s="0"/>
      <c r="G74" s="4" t="s">
        <v>254</v>
      </c>
      <c r="H74" s="1" t="str">
        <f aca="false">M28</f>
        <v>FREQ_12MHZ</v>
      </c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</row>
    <row r="75" customFormat="false" ht="13.8" hidden="false" customHeight="false" outlineLevel="0" collapsed="false">
      <c r="C75" s="0"/>
      <c r="D75" s="0"/>
      <c r="E75" s="4"/>
      <c r="F75" s="0"/>
      <c r="G75" s="0"/>
      <c r="H75" s="0"/>
      <c r="I75" s="0"/>
      <c r="J75" s="0"/>
      <c r="K75" s="0"/>
      <c r="L75" s="0"/>
      <c r="M75" s="11" t="n">
        <v>2</v>
      </c>
      <c r="N75" s="1" t="s">
        <v>6</v>
      </c>
      <c r="O75" s="0"/>
      <c r="P75" s="0"/>
      <c r="Q75" s="0"/>
      <c r="R75" s="0"/>
      <c r="S75" s="0"/>
      <c r="T75" s="0"/>
      <c r="U75" s="0"/>
      <c r="V75" s="0"/>
      <c r="W75" s="0"/>
    </row>
    <row r="76" customFormat="false" ht="13.8" hidden="false" customHeight="false" outlineLevel="0" collapsed="false">
      <c r="C76" s="0"/>
      <c r="D76" s="0"/>
      <c r="E76" s="4"/>
      <c r="F76" s="0"/>
      <c r="G76" s="0"/>
      <c r="H76" s="0"/>
      <c r="I76" s="0"/>
      <c r="J76" s="0"/>
      <c r="K76" s="0"/>
      <c r="L76" s="0"/>
      <c r="M76" s="24"/>
      <c r="N76" s="0"/>
      <c r="O76" s="0"/>
      <c r="P76" s="0"/>
      <c r="Q76" s="0"/>
      <c r="R76" s="0"/>
      <c r="S76" s="0"/>
      <c r="T76" s="0"/>
      <c r="U76" s="1" t="s">
        <v>255</v>
      </c>
      <c r="V76" s="0"/>
      <c r="W76" s="0"/>
    </row>
    <row r="77" customFormat="false" ht="13.8" hidden="false" customHeight="false" outlineLevel="0" collapsed="false">
      <c r="C77" s="0"/>
      <c r="D77" s="0"/>
      <c r="E77" s="4"/>
      <c r="F77" s="0"/>
      <c r="G77" s="0"/>
      <c r="H77" s="0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</row>
    <row r="78" customFormat="false" ht="13.8" hidden="false" customHeight="false" outlineLevel="0" collapsed="false">
      <c r="C78" s="0"/>
      <c r="D78" s="0"/>
      <c r="E78" s="4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</row>
    <row r="79" customFormat="false" ht="13.8" hidden="false" customHeight="false" outlineLevel="0" collapsed="false">
      <c r="C79" s="0"/>
      <c r="D79" s="0"/>
      <c r="E79" s="4"/>
      <c r="F79" s="0"/>
      <c r="G79" s="0"/>
      <c r="H79" s="0"/>
      <c r="I79" s="0"/>
      <c r="J79" s="0"/>
      <c r="K79" s="0"/>
      <c r="L79" s="0"/>
      <c r="M79" s="0"/>
      <c r="N79" s="30" t="s">
        <v>53</v>
      </c>
      <c r="O79" s="22" t="s">
        <v>54</v>
      </c>
      <c r="P79" s="22"/>
      <c r="Q79" s="22"/>
      <c r="R79" s="22"/>
      <c r="S79" s="22"/>
      <c r="T79" s="0"/>
      <c r="U79" s="0"/>
      <c r="V79" s="0"/>
      <c r="W79" s="0"/>
    </row>
    <row r="80" customFormat="false" ht="13.8" hidden="false" customHeight="false" outlineLevel="0" collapsed="false">
      <c r="C80" s="0"/>
      <c r="D80" s="0"/>
      <c r="E80" s="4"/>
      <c r="F80" s="0"/>
      <c r="G80" s="0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</row>
    <row r="81" customFormat="false" ht="13.8" hidden="false" customHeight="false" outlineLevel="0" collapsed="false">
      <c r="C81" s="0"/>
      <c r="D81" s="0"/>
      <c r="E81" s="4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</row>
    <row r="82" customFormat="false" ht="13.8" hidden="false" customHeight="false" outlineLevel="0" collapsed="false">
      <c r="C82" s="0"/>
      <c r="D82" s="0"/>
      <c r="E82" s="4"/>
      <c r="F82" s="0"/>
      <c r="G82" s="0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</row>
    <row r="83" customFormat="false" ht="13.8" hidden="false" customHeight="false" outlineLevel="0" collapsed="false">
      <c r="C83" s="0"/>
      <c r="D83" s="0"/>
      <c r="E83" s="4"/>
      <c r="F83" s="0"/>
      <c r="G83" s="0"/>
      <c r="H83" s="0"/>
      <c r="I83" s="0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</row>
    <row r="84" customFormat="false" ht="14.4" hidden="false" customHeight="false" outlineLevel="0" collapsed="false">
      <c r="C84" s="0"/>
      <c r="D84" s="0"/>
      <c r="E84" s="4"/>
      <c r="F84" s="0"/>
      <c r="G84" s="0"/>
      <c r="H84" s="0"/>
      <c r="I84" s="0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</row>
    <row r="85" customFormat="false" ht="13.8" hidden="false" customHeight="false" outlineLevel="0" collapsed="false">
      <c r="C85" s="31"/>
      <c r="D85" s="32"/>
      <c r="E85" s="32"/>
      <c r="F85" s="32" t="s">
        <v>55</v>
      </c>
      <c r="G85" s="32"/>
      <c r="H85" s="32"/>
      <c r="I85" s="32"/>
      <c r="J85" s="32"/>
      <c r="K85" s="32"/>
      <c r="L85" s="33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</row>
    <row r="86" customFormat="false" ht="13.8" hidden="false" customHeight="false" outlineLevel="0" collapsed="false">
      <c r="C86" s="34"/>
      <c r="D86" s="35"/>
      <c r="E86" s="35"/>
      <c r="F86" s="35"/>
      <c r="G86" s="35"/>
      <c r="H86" s="35"/>
      <c r="I86" s="35"/>
      <c r="J86" s="35"/>
      <c r="K86" s="35"/>
      <c r="L86" s="36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</row>
    <row r="87" customFormat="false" ht="14.4" hidden="false" customHeight="false" outlineLevel="0" collapsed="false">
      <c r="C87" s="37" t="s">
        <v>56</v>
      </c>
      <c r="D87" s="38"/>
      <c r="E87" s="38" t="s">
        <v>57</v>
      </c>
      <c r="F87" s="38"/>
      <c r="G87" s="37"/>
      <c r="H87" s="38" t="s">
        <v>56</v>
      </c>
      <c r="I87" s="38" t="s">
        <v>57</v>
      </c>
      <c r="J87" s="38"/>
      <c r="K87" s="38"/>
      <c r="L87" s="39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</row>
    <row r="88" customFormat="false" ht="13.8" hidden="false" customHeight="false" outlineLevel="0" collapsed="false">
      <c r="C88" s="41"/>
      <c r="D88" s="14" t="s">
        <v>243</v>
      </c>
      <c r="E88" s="12"/>
      <c r="F88" s="40"/>
      <c r="G88" s="12"/>
      <c r="H88" s="14" t="s">
        <v>20</v>
      </c>
      <c r="I88" s="12" t="s">
        <v>21</v>
      </c>
      <c r="J88" s="12"/>
      <c r="K88" s="12"/>
      <c r="L88" s="40"/>
      <c r="M88" s="0"/>
      <c r="N88" s="6" t="s">
        <v>58</v>
      </c>
      <c r="O88" s="0"/>
      <c r="P88" s="0"/>
      <c r="Q88" s="0"/>
      <c r="R88" s="0"/>
      <c r="S88" s="0"/>
      <c r="T88" s="0"/>
      <c r="U88" s="0"/>
      <c r="V88" s="0"/>
      <c r="W88" s="0"/>
    </row>
    <row r="89" customFormat="false" ht="13.8" hidden="false" customHeight="false" outlineLevel="0" collapsed="false">
      <c r="C89" s="41"/>
      <c r="D89" s="12" t="n">
        <v>1</v>
      </c>
      <c r="E89" s="12" t="s">
        <v>256</v>
      </c>
      <c r="F89" s="40" t="n">
        <f aca="false">IF($O$16=E89, D89, 0)</f>
        <v>0</v>
      </c>
      <c r="G89" s="12"/>
      <c r="H89" s="14"/>
      <c r="I89" s="12" t="s">
        <v>61</v>
      </c>
      <c r="J89" s="12"/>
      <c r="K89" s="12"/>
      <c r="L89" s="40"/>
      <c r="M89" s="0"/>
      <c r="N89" s="6" t="s">
        <v>60</v>
      </c>
      <c r="O89" s="0"/>
      <c r="P89" s="0"/>
      <c r="Q89" s="0"/>
      <c r="R89" s="0"/>
      <c r="S89" s="0"/>
      <c r="T89" s="0"/>
      <c r="U89" s="0"/>
      <c r="V89" s="0"/>
      <c r="W89" s="0"/>
    </row>
    <row r="90" customFormat="false" ht="13.8" hidden="false" customHeight="false" outlineLevel="0" collapsed="false">
      <c r="C90" s="41"/>
      <c r="D90" s="12" t="n">
        <v>2</v>
      </c>
      <c r="E90" s="12" t="s">
        <v>257</v>
      </c>
      <c r="F90" s="40" t="n">
        <f aca="false">IF($O$16=E90, D90, 0)</f>
        <v>0</v>
      </c>
      <c r="G90" s="12"/>
      <c r="H90" s="14"/>
      <c r="I90" s="12" t="s">
        <v>63</v>
      </c>
      <c r="J90" s="12"/>
      <c r="K90" s="12"/>
      <c r="L90" s="40"/>
      <c r="M90" s="0"/>
      <c r="N90" s="6" t="s">
        <v>258</v>
      </c>
      <c r="O90" s="0"/>
      <c r="P90" s="0"/>
      <c r="Q90" s="0"/>
      <c r="R90" s="0"/>
      <c r="S90" s="0"/>
      <c r="T90" s="0"/>
      <c r="U90" s="0"/>
      <c r="V90" s="0"/>
      <c r="W90" s="0"/>
    </row>
    <row r="91" customFormat="false" ht="13.8" hidden="false" customHeight="false" outlineLevel="0" collapsed="false">
      <c r="C91" s="41"/>
      <c r="D91" s="12" t="n">
        <f aca="false">D90+1</f>
        <v>3</v>
      </c>
      <c r="E91" s="12" t="s">
        <v>259</v>
      </c>
      <c r="F91" s="40" t="n">
        <f aca="false">IF($O$16=E91, D91, 0)</f>
        <v>0</v>
      </c>
      <c r="G91" s="12"/>
      <c r="H91" s="14"/>
      <c r="I91" s="12"/>
      <c r="J91" s="12"/>
      <c r="K91" s="12"/>
      <c r="L91" s="40"/>
      <c r="M91" s="0"/>
      <c r="N91" s="1" t="s">
        <v>64</v>
      </c>
      <c r="O91" s="0"/>
      <c r="P91" s="0"/>
      <c r="Q91" s="0"/>
      <c r="R91" s="0"/>
      <c r="S91" s="0"/>
      <c r="T91" s="0"/>
      <c r="U91" s="0"/>
      <c r="V91" s="0"/>
      <c r="W91" s="0"/>
    </row>
    <row r="92" customFormat="false" ht="13.8" hidden="false" customHeight="false" outlineLevel="0" collapsed="false">
      <c r="C92" s="41"/>
      <c r="D92" s="12" t="n">
        <f aca="false">D91+1</f>
        <v>4</v>
      </c>
      <c r="E92" s="12" t="s">
        <v>260</v>
      </c>
      <c r="F92" s="40" t="n">
        <f aca="false">IF($O$16=E92, D92, 0)</f>
        <v>0</v>
      </c>
      <c r="G92" s="12"/>
      <c r="H92" s="14" t="s">
        <v>241</v>
      </c>
      <c r="I92" s="12" t="s">
        <v>242</v>
      </c>
      <c r="J92" s="12"/>
      <c r="K92" s="12"/>
      <c r="L92" s="40"/>
      <c r="M92" s="0"/>
      <c r="N92" s="1" t="s">
        <v>65</v>
      </c>
      <c r="O92" s="0"/>
      <c r="P92" s="0"/>
      <c r="Q92" s="0"/>
      <c r="R92" s="0"/>
      <c r="S92" s="0"/>
      <c r="T92" s="0"/>
      <c r="U92" s="0"/>
      <c r="V92" s="0"/>
      <c r="W92" s="0"/>
    </row>
    <row r="93" customFormat="false" ht="13.8" hidden="false" customHeight="false" outlineLevel="0" collapsed="false">
      <c r="C93" s="41"/>
      <c r="D93" s="12" t="n">
        <f aca="false">D92+1</f>
        <v>5</v>
      </c>
      <c r="E93" s="12" t="s">
        <v>261</v>
      </c>
      <c r="F93" s="40" t="n">
        <f aca="false">IF($O$16=E93, D93, 0)</f>
        <v>0</v>
      </c>
      <c r="G93" s="12"/>
      <c r="H93" s="14"/>
      <c r="I93" s="12" t="s">
        <v>262</v>
      </c>
      <c r="J93" s="12"/>
      <c r="K93" s="12"/>
      <c r="L93" s="40"/>
      <c r="M93" s="0"/>
      <c r="N93" s="1" t="s">
        <v>66</v>
      </c>
      <c r="O93" s="0"/>
      <c r="P93" s="0"/>
      <c r="Q93" s="0"/>
      <c r="R93" s="0"/>
      <c r="S93" s="0"/>
      <c r="T93" s="0"/>
      <c r="U93" s="0"/>
      <c r="V93" s="0"/>
      <c r="W93" s="0"/>
    </row>
    <row r="94" customFormat="false" ht="13.8" hidden="false" customHeight="false" outlineLevel="0" collapsed="false">
      <c r="C94" s="41"/>
      <c r="D94" s="12" t="n">
        <f aca="false">D93+1</f>
        <v>6</v>
      </c>
      <c r="E94" s="12" t="s">
        <v>263</v>
      </c>
      <c r="F94" s="40" t="n">
        <f aca="false">IF($O$16=E94, D94, 0)</f>
        <v>0</v>
      </c>
      <c r="G94" s="12"/>
      <c r="H94" s="14"/>
      <c r="I94" s="12"/>
      <c r="J94" s="12"/>
      <c r="K94" s="12"/>
      <c r="L94" s="40"/>
      <c r="M94" s="0"/>
      <c r="N94" s="1" t="s">
        <v>264</v>
      </c>
      <c r="O94" s="0"/>
      <c r="P94" s="0"/>
      <c r="Q94" s="0"/>
      <c r="R94" s="0"/>
      <c r="S94" s="0"/>
      <c r="T94" s="0"/>
      <c r="U94" s="0"/>
      <c r="V94" s="0"/>
      <c r="W94" s="0"/>
    </row>
    <row r="95" customFormat="false" ht="13.8" hidden="false" customHeight="false" outlineLevel="0" collapsed="false">
      <c r="C95" s="41"/>
      <c r="D95" s="12" t="n">
        <f aca="false">D94+1</f>
        <v>7</v>
      </c>
      <c r="E95" s="12" t="s">
        <v>265</v>
      </c>
      <c r="F95" s="40" t="n">
        <f aca="false">IF($O$16=E95, D95, 0)</f>
        <v>0</v>
      </c>
      <c r="G95" s="12"/>
      <c r="H95" s="14" t="s">
        <v>10</v>
      </c>
      <c r="I95" s="12" t="s">
        <v>67</v>
      </c>
      <c r="J95" s="12" t="n">
        <f aca="false">IF($L$16="DIV_1", 1, 0)</f>
        <v>1</v>
      </c>
      <c r="K95" s="12"/>
      <c r="L95" s="40"/>
      <c r="M95" s="0"/>
      <c r="N95" s="1" t="s">
        <v>266</v>
      </c>
      <c r="O95" s="0"/>
      <c r="P95" s="0"/>
      <c r="Q95" s="0"/>
      <c r="R95" s="0"/>
      <c r="S95" s="0"/>
      <c r="T95" s="0"/>
      <c r="U95" s="0"/>
      <c r="V95" s="0"/>
      <c r="W95" s="0"/>
    </row>
    <row r="96" customFormat="false" ht="13.8" hidden="false" customHeight="false" outlineLevel="0" collapsed="false">
      <c r="C96" s="41"/>
      <c r="D96" s="12" t="n">
        <f aca="false">D95+1</f>
        <v>8</v>
      </c>
      <c r="E96" s="12" t="s">
        <v>267</v>
      </c>
      <c r="F96" s="40" t="n">
        <f aca="false">IF($O$16=E96, D96, 0)</f>
        <v>0</v>
      </c>
      <c r="G96" s="12"/>
      <c r="H96" s="14"/>
      <c r="I96" s="12" t="s">
        <v>11</v>
      </c>
      <c r="J96" s="12" t="n">
        <f aca="false">IF($L$16="DIV_2", 2, 0)</f>
        <v>0</v>
      </c>
      <c r="K96" s="12"/>
      <c r="L96" s="40"/>
      <c r="M96" s="0"/>
      <c r="N96" s="1" t="s">
        <v>68</v>
      </c>
      <c r="O96" s="0"/>
      <c r="P96" s="0"/>
      <c r="Q96" s="0"/>
      <c r="R96" s="0"/>
      <c r="S96" s="0"/>
      <c r="T96" s="0"/>
      <c r="U96" s="0"/>
      <c r="V96" s="0"/>
      <c r="W96" s="0"/>
    </row>
    <row r="97" customFormat="false" ht="13.8" hidden="false" customHeight="false" outlineLevel="0" collapsed="false">
      <c r="C97" s="41"/>
      <c r="D97" s="12" t="n">
        <f aca="false">D96+1</f>
        <v>9</v>
      </c>
      <c r="E97" s="12" t="s">
        <v>268</v>
      </c>
      <c r="F97" s="40" t="n">
        <f aca="false">IF($O$16=E97, D97, 0)</f>
        <v>0</v>
      </c>
      <c r="G97" s="12"/>
      <c r="H97" s="14"/>
      <c r="I97" s="12" t="s">
        <v>28</v>
      </c>
      <c r="J97" s="12" t="n">
        <f aca="false">IF($L$16="DIV_3", 3, 0)</f>
        <v>0</v>
      </c>
      <c r="K97" s="12"/>
      <c r="L97" s="40"/>
      <c r="M97" s="0"/>
      <c r="N97" s="1" t="s">
        <v>69</v>
      </c>
      <c r="O97" s="0"/>
      <c r="P97" s="0"/>
      <c r="Q97" s="0"/>
      <c r="R97" s="0"/>
      <c r="S97" s="0"/>
      <c r="T97" s="0"/>
      <c r="U97" s="0"/>
      <c r="V97" s="0"/>
      <c r="W97" s="0"/>
    </row>
    <row r="98" customFormat="false" ht="13.8" hidden="false" customHeight="false" outlineLevel="0" collapsed="false">
      <c r="C98" s="41"/>
      <c r="D98" s="12" t="n">
        <f aca="false">D97+1</f>
        <v>10</v>
      </c>
      <c r="E98" s="12" t="s">
        <v>269</v>
      </c>
      <c r="F98" s="40" t="n">
        <f aca="false">IF($O$16=E98, D98, 0)</f>
        <v>0</v>
      </c>
      <c r="G98" s="12"/>
      <c r="H98" s="14"/>
      <c r="I98" s="12" t="s">
        <v>71</v>
      </c>
      <c r="J98" s="12" t="n">
        <f aca="false">IF($L$16="DIV_4", 4, 0)</f>
        <v>0</v>
      </c>
      <c r="K98" s="12"/>
      <c r="L98" s="40"/>
      <c r="M98" s="0"/>
      <c r="N98" s="1" t="s">
        <v>270</v>
      </c>
      <c r="O98" s="0"/>
      <c r="P98" s="0"/>
      <c r="Q98" s="0"/>
      <c r="R98" s="0"/>
      <c r="S98" s="0"/>
      <c r="T98" s="0"/>
      <c r="U98" s="0"/>
      <c r="V98" s="0"/>
      <c r="W98" s="0"/>
    </row>
    <row r="99" customFormat="false" ht="13.8" hidden="false" customHeight="false" outlineLevel="0" collapsed="false">
      <c r="C99" s="41"/>
      <c r="D99" s="12" t="n">
        <f aca="false">D98+1</f>
        <v>11</v>
      </c>
      <c r="E99" s="12" t="s">
        <v>271</v>
      </c>
      <c r="F99" s="40" t="n">
        <f aca="false">IF($O$16=E99, D99, 0)</f>
        <v>0</v>
      </c>
      <c r="G99" s="12"/>
      <c r="H99" s="14"/>
      <c r="I99" s="12" t="s">
        <v>73</v>
      </c>
      <c r="J99" s="12" t="n">
        <f aca="false">IF($L$16="DIV_5", 5, 0)</f>
        <v>0</v>
      </c>
      <c r="K99" s="12"/>
      <c r="L99" s="40"/>
      <c r="M99" s="0"/>
      <c r="N99" s="1" t="s">
        <v>272</v>
      </c>
      <c r="O99" s="0"/>
      <c r="P99" s="0"/>
      <c r="Q99" s="0"/>
      <c r="R99" s="0"/>
      <c r="S99" s="0"/>
      <c r="T99" s="0"/>
      <c r="U99" s="0"/>
      <c r="V99" s="0"/>
      <c r="W99" s="0"/>
    </row>
    <row r="100" customFormat="false" ht="13.8" hidden="false" customHeight="false" outlineLevel="0" collapsed="false">
      <c r="C100" s="41"/>
      <c r="D100" s="12" t="n">
        <f aca="false">D99+1</f>
        <v>12</v>
      </c>
      <c r="E100" s="12" t="s">
        <v>273</v>
      </c>
      <c r="F100" s="40" t="n">
        <f aca="false">IF($O$16=E100, D100, 0)</f>
        <v>0</v>
      </c>
      <c r="G100" s="12"/>
      <c r="H100" s="14"/>
      <c r="I100" s="12" t="s">
        <v>75</v>
      </c>
      <c r="J100" s="12" t="n">
        <f aca="false">IF($L$16="DIV_6", 6, 0)</f>
        <v>0</v>
      </c>
      <c r="K100" s="12"/>
      <c r="L100" s="40"/>
      <c r="M100" s="0"/>
      <c r="N100" s="1" t="s">
        <v>274</v>
      </c>
      <c r="O100" s="0"/>
      <c r="P100" s="0"/>
      <c r="Q100" s="0"/>
      <c r="R100" s="0"/>
      <c r="S100" s="0"/>
      <c r="T100" s="0"/>
      <c r="U100" s="0"/>
      <c r="V100" s="0"/>
      <c r="W100" s="0"/>
    </row>
    <row r="101" customFormat="false" ht="13.8" hidden="false" customHeight="false" outlineLevel="0" collapsed="false">
      <c r="C101" s="41"/>
      <c r="D101" s="12" t="n">
        <f aca="false">D100+1</f>
        <v>13</v>
      </c>
      <c r="E101" s="12" t="s">
        <v>275</v>
      </c>
      <c r="F101" s="40" t="n">
        <f aca="false">IF($O$16=E101, D101, 0)</f>
        <v>0</v>
      </c>
      <c r="G101" s="12"/>
      <c r="H101" s="14"/>
      <c r="I101" s="12" t="s">
        <v>276</v>
      </c>
      <c r="J101" s="12" t="n">
        <f aca="false">IF($L$16="DIV_7", 7, 0)</f>
        <v>0</v>
      </c>
      <c r="K101" s="12"/>
      <c r="L101" s="40"/>
      <c r="M101" s="0"/>
      <c r="N101" s="1" t="s">
        <v>72</v>
      </c>
      <c r="O101" s="0"/>
      <c r="P101" s="0"/>
      <c r="Q101" s="0"/>
      <c r="R101" s="0"/>
      <c r="S101" s="0"/>
      <c r="T101" s="0"/>
      <c r="U101" s="0"/>
      <c r="V101" s="0"/>
      <c r="W101" s="0"/>
    </row>
    <row r="102" customFormat="false" ht="13.8" hidden="false" customHeight="false" outlineLevel="0" collapsed="false">
      <c r="C102" s="41"/>
      <c r="D102" s="12" t="n">
        <f aca="false">D101+1</f>
        <v>14</v>
      </c>
      <c r="E102" s="12" t="s">
        <v>277</v>
      </c>
      <c r="F102" s="40" t="n">
        <f aca="false">IF($O$16=E102, D102, 0)</f>
        <v>0</v>
      </c>
      <c r="G102" s="12"/>
      <c r="H102" s="14"/>
      <c r="I102" s="12" t="s">
        <v>95</v>
      </c>
      <c r="J102" s="12" t="n">
        <f aca="false">IF($L$16="DIV_8", 8, 0)</f>
        <v>0</v>
      </c>
      <c r="K102" s="12"/>
      <c r="L102" s="40"/>
      <c r="M102" s="0"/>
      <c r="N102" s="1" t="s">
        <v>74</v>
      </c>
      <c r="O102" s="0"/>
      <c r="P102" s="0"/>
      <c r="Q102" s="0"/>
      <c r="R102" s="0"/>
      <c r="S102" s="0"/>
      <c r="T102" s="0"/>
      <c r="U102" s="0"/>
      <c r="V102" s="0"/>
      <c r="W102" s="0"/>
    </row>
    <row r="103" customFormat="false" ht="13.8" hidden="false" customHeight="false" outlineLevel="0" collapsed="false">
      <c r="C103" s="41"/>
      <c r="D103" s="12" t="n">
        <f aca="false">D102+1</f>
        <v>15</v>
      </c>
      <c r="E103" s="12" t="s">
        <v>83</v>
      </c>
      <c r="F103" s="40" t="n">
        <f aca="false">IF($O$16=E103, D103, 0)</f>
        <v>0</v>
      </c>
      <c r="G103" s="12"/>
      <c r="H103" s="14"/>
      <c r="I103" s="12"/>
      <c r="J103" s="12" t="n">
        <f aca="false">SUM(J95:J102)</f>
        <v>1</v>
      </c>
      <c r="K103" s="12"/>
      <c r="L103" s="4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</row>
    <row r="104" customFormat="false" ht="13.8" hidden="false" customHeight="false" outlineLevel="0" collapsed="false">
      <c r="C104" s="41"/>
      <c r="D104" s="12" t="n">
        <f aca="false">D103+1</f>
        <v>16</v>
      </c>
      <c r="E104" s="12" t="s">
        <v>85</v>
      </c>
      <c r="F104" s="40" t="n">
        <f aca="false">IF($O$16=E104, D104, 0)</f>
        <v>0</v>
      </c>
      <c r="G104" s="12"/>
      <c r="H104" s="12"/>
      <c r="I104" s="12"/>
      <c r="J104" s="12"/>
      <c r="K104" s="12"/>
      <c r="L104" s="40"/>
      <c r="M104" s="0"/>
      <c r="N104" s="1" t="s">
        <v>77</v>
      </c>
      <c r="O104" s="0"/>
      <c r="P104" s="0"/>
      <c r="Q104" s="0"/>
      <c r="R104" s="0"/>
      <c r="S104" s="0"/>
      <c r="T104" s="0"/>
      <c r="U104" s="0"/>
      <c r="V104" s="0"/>
      <c r="W104" s="0"/>
    </row>
    <row r="105" customFormat="false" ht="13.8" hidden="false" customHeight="false" outlineLevel="0" collapsed="false">
      <c r="C105" s="41"/>
      <c r="D105" s="12" t="n">
        <f aca="false">D104+1</f>
        <v>17</v>
      </c>
      <c r="E105" s="12" t="s">
        <v>87</v>
      </c>
      <c r="F105" s="40" t="n">
        <f aca="false">IF($O$16=E105, D105, 0)</f>
        <v>0</v>
      </c>
      <c r="G105" s="12"/>
      <c r="H105" s="14" t="s">
        <v>14</v>
      </c>
      <c r="I105" s="12" t="s">
        <v>11</v>
      </c>
      <c r="J105" s="12" t="n">
        <f aca="false">IF($R$16="DIV_2", 2, 0)</f>
        <v>2</v>
      </c>
      <c r="K105" s="12"/>
      <c r="L105" s="40"/>
      <c r="M105" s="0"/>
      <c r="N105" s="1" t="s">
        <v>79</v>
      </c>
      <c r="O105" s="0"/>
      <c r="P105" s="0"/>
      <c r="Q105" s="0"/>
      <c r="R105" s="0"/>
      <c r="S105" s="0"/>
      <c r="T105" s="0"/>
      <c r="U105" s="0"/>
      <c r="V105" s="0"/>
      <c r="W105" s="0"/>
    </row>
    <row r="106" customFormat="false" ht="13.8" hidden="false" customHeight="false" outlineLevel="0" collapsed="false">
      <c r="C106" s="41"/>
      <c r="D106" s="12" t="n">
        <f aca="false">D105+1</f>
        <v>18</v>
      </c>
      <c r="E106" s="12" t="s">
        <v>88</v>
      </c>
      <c r="F106" s="40" t="n">
        <f aca="false">IF($O$16=E106, D106, 0)</f>
        <v>0</v>
      </c>
      <c r="G106" s="12"/>
      <c r="H106" s="12"/>
      <c r="I106" s="12" t="s">
        <v>71</v>
      </c>
      <c r="J106" s="12" t="n">
        <f aca="false">IF($R$16="DIV_4", 4, 0)</f>
        <v>0</v>
      </c>
      <c r="K106" s="12"/>
      <c r="L106" s="40"/>
      <c r="M106" s="0"/>
      <c r="N106" s="1" t="s">
        <v>80</v>
      </c>
      <c r="O106" s="0"/>
      <c r="P106" s="0"/>
      <c r="Q106" s="0"/>
      <c r="R106" s="0"/>
      <c r="S106" s="0"/>
      <c r="T106" s="0"/>
      <c r="U106" s="0"/>
      <c r="V106" s="0"/>
      <c r="W106" s="0"/>
    </row>
    <row r="107" customFormat="false" ht="13.8" hidden="false" customHeight="false" outlineLevel="0" collapsed="false">
      <c r="C107" s="41"/>
      <c r="D107" s="12" t="n">
        <f aca="false">D106+1</f>
        <v>19</v>
      </c>
      <c r="E107" s="12" t="s">
        <v>89</v>
      </c>
      <c r="F107" s="40" t="n">
        <f aca="false">IF($O$16=E107, D107, 0)</f>
        <v>0</v>
      </c>
      <c r="G107" s="12"/>
      <c r="H107" s="12"/>
      <c r="I107" s="12" t="s">
        <v>95</v>
      </c>
      <c r="J107" s="12" t="n">
        <f aca="false">IF($R$16="DIV_8", 8, 0)</f>
        <v>0</v>
      </c>
      <c r="K107" s="12"/>
      <c r="L107" s="40"/>
      <c r="M107" s="0"/>
      <c r="N107" s="1" t="s">
        <v>81</v>
      </c>
      <c r="O107" s="0"/>
      <c r="P107" s="0"/>
      <c r="Q107" s="0"/>
      <c r="R107" s="0"/>
      <c r="S107" s="0"/>
      <c r="T107" s="0"/>
      <c r="U107" s="0"/>
      <c r="V107" s="0"/>
      <c r="W107" s="0"/>
    </row>
    <row r="108" customFormat="false" ht="13.8" hidden="false" customHeight="false" outlineLevel="0" collapsed="false">
      <c r="C108" s="41"/>
      <c r="D108" s="12" t="n">
        <f aca="false">D107+1</f>
        <v>20</v>
      </c>
      <c r="E108" s="12" t="s">
        <v>13</v>
      </c>
      <c r="F108" s="40" t="n">
        <f aca="false">IF($O$16=E108, D108, 0)</f>
        <v>0</v>
      </c>
      <c r="G108" s="12"/>
      <c r="H108" s="12"/>
      <c r="I108" s="12" t="s">
        <v>97</v>
      </c>
      <c r="J108" s="12" t="n">
        <f aca="false">IF($R$16="DIV_16", 16, 0)</f>
        <v>0</v>
      </c>
      <c r="K108" s="12"/>
      <c r="L108" s="40"/>
      <c r="M108" s="0"/>
      <c r="N108" s="1" t="s">
        <v>82</v>
      </c>
      <c r="O108" s="0"/>
      <c r="P108" s="0"/>
      <c r="Q108" s="0"/>
      <c r="R108" s="0"/>
      <c r="S108" s="0"/>
      <c r="T108" s="0"/>
      <c r="U108" s="0"/>
      <c r="V108" s="0"/>
      <c r="W108" s="0"/>
    </row>
    <row r="109" customFormat="false" ht="13.8" hidden="false" customHeight="false" outlineLevel="0" collapsed="false">
      <c r="C109" s="41"/>
      <c r="D109" s="12" t="n">
        <f aca="false">D108+1</f>
        <v>21</v>
      </c>
      <c r="E109" s="12" t="s">
        <v>90</v>
      </c>
      <c r="F109" s="40" t="n">
        <f aca="false">IF($O$16=E109, D109, 0)</f>
        <v>0</v>
      </c>
      <c r="G109" s="12"/>
      <c r="H109" s="12"/>
      <c r="I109" s="12" t="s">
        <v>99</v>
      </c>
      <c r="J109" s="12" t="n">
        <f aca="false">IF($R$16="DIV_32", 32, 0)</f>
        <v>0</v>
      </c>
      <c r="K109" s="12"/>
      <c r="L109" s="40"/>
      <c r="M109" s="0"/>
      <c r="N109" s="1" t="s">
        <v>84</v>
      </c>
      <c r="O109" s="0"/>
      <c r="P109" s="0"/>
      <c r="Q109" s="0"/>
      <c r="R109" s="0"/>
      <c r="S109" s="0"/>
      <c r="T109" s="0"/>
      <c r="U109" s="0"/>
      <c r="V109" s="0"/>
      <c r="W109" s="0"/>
    </row>
    <row r="110" customFormat="false" ht="13.8" hidden="false" customHeight="false" outlineLevel="0" collapsed="false">
      <c r="C110" s="41"/>
      <c r="D110" s="12" t="n">
        <f aca="false">D109+1</f>
        <v>22</v>
      </c>
      <c r="E110" s="12" t="s">
        <v>278</v>
      </c>
      <c r="F110" s="40" t="n">
        <f aca="false">IF($O$16=E110, D110, 0)</f>
        <v>0</v>
      </c>
      <c r="G110" s="12"/>
      <c r="H110" s="12"/>
      <c r="I110" s="12"/>
      <c r="J110" s="12" t="n">
        <f aca="false">SUM(J105:J109)</f>
        <v>2</v>
      </c>
      <c r="K110" s="12"/>
      <c r="L110" s="40"/>
      <c r="M110" s="0"/>
      <c r="N110" s="1" t="s">
        <v>86</v>
      </c>
      <c r="O110" s="0"/>
      <c r="P110" s="0"/>
      <c r="Q110" s="0"/>
      <c r="R110" s="0"/>
      <c r="S110" s="0"/>
      <c r="T110" s="0"/>
      <c r="U110" s="0"/>
      <c r="V110" s="0"/>
      <c r="W110" s="0"/>
    </row>
    <row r="111" customFormat="false" ht="13.8" hidden="false" customHeight="false" outlineLevel="0" collapsed="false">
      <c r="C111" s="41"/>
      <c r="D111" s="12" t="n">
        <f aca="false">D110+1</f>
        <v>23</v>
      </c>
      <c r="E111" s="12" t="s">
        <v>279</v>
      </c>
      <c r="F111" s="40" t="n">
        <f aca="false">IF($O$16=E111, D111, 0)</f>
        <v>0</v>
      </c>
      <c r="G111" s="12"/>
      <c r="H111" s="12"/>
      <c r="I111" s="12"/>
      <c r="J111" s="12"/>
      <c r="K111" s="12"/>
      <c r="L111" s="40"/>
      <c r="M111" s="0"/>
      <c r="N111" s="0"/>
      <c r="O111" s="0"/>
      <c r="P111" s="0"/>
      <c r="Q111" s="0"/>
      <c r="R111" s="0"/>
      <c r="S111" s="0"/>
      <c r="T111" s="0"/>
      <c r="U111" s="0"/>
      <c r="V111" s="0"/>
      <c r="W111" s="0"/>
    </row>
    <row r="112" customFormat="false" ht="13.8" hidden="false" customHeight="false" outlineLevel="0" collapsed="false">
      <c r="C112" s="41"/>
      <c r="D112" s="12" t="n">
        <f aca="false">D111+1</f>
        <v>24</v>
      </c>
      <c r="E112" s="12" t="s">
        <v>91</v>
      </c>
      <c r="F112" s="40" t="n">
        <f aca="false">IF($O$16=E112, D112, 0)</f>
        <v>0</v>
      </c>
      <c r="G112" s="12"/>
      <c r="H112" s="14" t="s">
        <v>35</v>
      </c>
      <c r="I112" s="12" t="s">
        <v>115</v>
      </c>
      <c r="J112" s="12" t="n">
        <f aca="false">$M$40</f>
        <v>4</v>
      </c>
      <c r="K112" s="12" t="n">
        <f aca="false">IF($O$54=I112, J112, 0)</f>
        <v>0</v>
      </c>
      <c r="L112" s="4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</row>
    <row r="113" customFormat="false" ht="14.4" hidden="false" customHeight="false" outlineLevel="0" collapsed="false">
      <c r="C113" s="41"/>
      <c r="D113" s="12" t="n">
        <f aca="false">D112+1</f>
        <v>25</v>
      </c>
      <c r="E113" s="12" t="s">
        <v>280</v>
      </c>
      <c r="F113" s="40" t="n">
        <f aca="false">IF($O$16=E113, D113, 0)</f>
        <v>0</v>
      </c>
      <c r="G113" s="12"/>
      <c r="H113" s="12"/>
      <c r="I113" s="12" t="s">
        <v>250</v>
      </c>
      <c r="J113" s="12" t="n">
        <f aca="false">$M$42</f>
        <v>200</v>
      </c>
      <c r="K113" s="12" t="n">
        <f aca="false">IF($O$54=I113, J113, 0)</f>
        <v>200</v>
      </c>
      <c r="L113" s="40"/>
      <c r="M113" s="0"/>
      <c r="N113" s="0"/>
      <c r="O113" s="0"/>
      <c r="P113" s="0"/>
      <c r="Q113" s="0"/>
      <c r="R113" s="0"/>
      <c r="S113" s="0"/>
      <c r="T113" s="0"/>
      <c r="U113" s="0"/>
      <c r="V113" s="0"/>
      <c r="W113" s="0"/>
    </row>
    <row r="114" customFormat="false" ht="13.8" hidden="false" customHeight="false" outlineLevel="0" collapsed="false">
      <c r="C114" s="41"/>
      <c r="D114" s="12" t="n">
        <f aca="false">D113+1</f>
        <v>26</v>
      </c>
      <c r="E114" s="12" t="s">
        <v>281</v>
      </c>
      <c r="F114" s="40" t="n">
        <f aca="false">IF($O$16=E114, D114, 0)</f>
        <v>0</v>
      </c>
      <c r="G114" s="12"/>
      <c r="H114" s="12"/>
      <c r="I114" s="12" t="s">
        <v>282</v>
      </c>
      <c r="J114" s="12" t="n">
        <f aca="false">$M$44</f>
        <v>12</v>
      </c>
      <c r="K114" s="12" t="n">
        <f aca="false">IF($O$54=I114, J114, 0)</f>
        <v>0</v>
      </c>
      <c r="L114" s="40"/>
      <c r="M114" s="0"/>
      <c r="N114" s="31"/>
      <c r="O114" s="32" t="s">
        <v>92</v>
      </c>
      <c r="P114" s="32"/>
      <c r="Q114" s="32"/>
      <c r="R114" s="32"/>
      <c r="S114" s="32"/>
      <c r="T114" s="32"/>
      <c r="U114" s="32"/>
      <c r="V114" s="32"/>
      <c r="W114" s="33"/>
    </row>
    <row r="115" customFormat="false" ht="13.8" hidden="false" customHeight="false" outlineLevel="0" collapsed="false">
      <c r="C115" s="41"/>
      <c r="D115" s="12" t="n">
        <f aca="false">D114+1</f>
        <v>27</v>
      </c>
      <c r="E115" s="12" t="s">
        <v>283</v>
      </c>
      <c r="F115" s="40" t="n">
        <f aca="false">IF($O$16=E115, D115, 0)</f>
        <v>0</v>
      </c>
      <c r="G115" s="12"/>
      <c r="H115" s="12"/>
      <c r="I115" s="12" t="s">
        <v>284</v>
      </c>
      <c r="J115" s="12" t="n">
        <f aca="false">$M$46</f>
        <v>8</v>
      </c>
      <c r="K115" s="12" t="n">
        <f aca="false">IF($O$54=I115, J115, 0)</f>
        <v>0</v>
      </c>
      <c r="L115" s="40"/>
      <c r="M115" s="0"/>
      <c r="N115" s="41"/>
      <c r="O115" s="12"/>
      <c r="P115" s="12"/>
      <c r="Q115" s="12"/>
      <c r="R115" s="12"/>
      <c r="S115" s="12"/>
      <c r="T115" s="12"/>
      <c r="U115" s="12"/>
      <c r="V115" s="12"/>
      <c r="W115" s="40"/>
    </row>
    <row r="116" customFormat="false" ht="14.4" hidden="false" customHeight="false" outlineLevel="0" collapsed="false">
      <c r="C116" s="41"/>
      <c r="D116" s="12" t="n">
        <f aca="false">D115+1</f>
        <v>28</v>
      </c>
      <c r="E116" s="12" t="s">
        <v>285</v>
      </c>
      <c r="F116" s="40" t="n">
        <f aca="false">IF($O$16=E116, D116, 0)</f>
        <v>0</v>
      </c>
      <c r="G116" s="12"/>
      <c r="H116" s="12"/>
      <c r="I116" s="12" t="s">
        <v>112</v>
      </c>
      <c r="J116" s="12" t="n">
        <f aca="false">$M$48 * 0.001</f>
        <v>0.032</v>
      </c>
      <c r="K116" s="12" t="n">
        <f aca="false">IF($O$54=I116, J116, 0)</f>
        <v>0</v>
      </c>
      <c r="L116" s="40"/>
      <c r="M116" s="0"/>
      <c r="N116" s="41"/>
      <c r="O116" s="12"/>
      <c r="P116" s="12"/>
      <c r="Q116" s="12"/>
      <c r="R116" s="12"/>
      <c r="S116" s="12"/>
      <c r="T116" s="12"/>
      <c r="U116" s="12"/>
      <c r="V116" s="12"/>
      <c r="W116" s="40"/>
    </row>
    <row r="117" customFormat="false" ht="13.8" hidden="false" customHeight="false" outlineLevel="0" collapsed="false">
      <c r="C117" s="41"/>
      <c r="D117" s="12" t="n">
        <f aca="false">D116+1</f>
        <v>29</v>
      </c>
      <c r="E117" s="12" t="s">
        <v>286</v>
      </c>
      <c r="F117" s="40" t="n">
        <f aca="false">IF($O$16=E117, D117, 0)</f>
        <v>0</v>
      </c>
      <c r="G117" s="12"/>
      <c r="H117" s="12"/>
      <c r="I117" s="12" t="s">
        <v>111</v>
      </c>
      <c r="J117" s="43" t="n">
        <f aca="false">$M$50 * 0.001</f>
        <v>0.032768</v>
      </c>
      <c r="K117" s="12" t="n">
        <f aca="false">IF($O$54=I117, J117, 0)</f>
        <v>0</v>
      </c>
      <c r="L117" s="40"/>
      <c r="M117" s="0"/>
      <c r="N117" s="42" t="s">
        <v>93</v>
      </c>
      <c r="O117" s="32"/>
      <c r="P117" s="32"/>
      <c r="Q117" s="32"/>
      <c r="R117" s="32"/>
      <c r="S117" s="32"/>
      <c r="T117" s="32"/>
      <c r="U117" s="32"/>
      <c r="V117" s="32"/>
      <c r="W117" s="33"/>
    </row>
    <row r="118" customFormat="false" ht="13.8" hidden="false" customHeight="false" outlineLevel="0" collapsed="false">
      <c r="C118" s="41"/>
      <c r="D118" s="12" t="n">
        <f aca="false">D117+1</f>
        <v>30</v>
      </c>
      <c r="E118" s="12" t="s">
        <v>287</v>
      </c>
      <c r="F118" s="40" t="n">
        <f aca="false">IF($O$16=E118, D118, 0)</f>
        <v>0</v>
      </c>
      <c r="G118" s="12"/>
      <c r="H118" s="12"/>
      <c r="I118" s="12"/>
      <c r="J118" s="12"/>
      <c r="K118" s="12" t="n">
        <f aca="false">SUM(K112:K117)</f>
        <v>200</v>
      </c>
      <c r="L118" s="40"/>
      <c r="M118" s="0"/>
      <c r="N118" s="41" t="n">
        <v>1</v>
      </c>
      <c r="O118" s="12" t="s">
        <v>94</v>
      </c>
      <c r="P118" s="12"/>
      <c r="Q118" s="12"/>
      <c r="R118" s="12" t="n">
        <f aca="false">IF($I$10=$O118, N118, 0)</f>
        <v>0</v>
      </c>
      <c r="S118" s="12"/>
      <c r="T118" s="12"/>
      <c r="U118" s="12"/>
      <c r="V118" s="12"/>
      <c r="W118" s="40"/>
    </row>
    <row r="119" customFormat="false" ht="13.8" hidden="false" customHeight="false" outlineLevel="0" collapsed="false">
      <c r="C119" s="41"/>
      <c r="D119" s="12" t="n">
        <f aca="false">D118+1</f>
        <v>31</v>
      </c>
      <c r="E119" s="12" t="s">
        <v>288</v>
      </c>
      <c r="F119" s="40" t="n">
        <f aca="false">IF($O$16=E119, D119, 0)</f>
        <v>0</v>
      </c>
      <c r="G119" s="12"/>
      <c r="H119" s="12"/>
      <c r="I119" s="12"/>
      <c r="J119" s="12"/>
      <c r="K119" s="12"/>
      <c r="L119" s="40"/>
      <c r="M119" s="0"/>
      <c r="N119" s="41" t="n">
        <v>2</v>
      </c>
      <c r="O119" s="12" t="s">
        <v>4</v>
      </c>
      <c r="P119" s="12"/>
      <c r="Q119" s="12"/>
      <c r="R119" s="12" t="n">
        <f aca="false">IF($I$10=$O119, N119, 0)</f>
        <v>2</v>
      </c>
      <c r="S119" s="12"/>
      <c r="T119" s="12"/>
      <c r="U119" s="12"/>
      <c r="V119" s="12"/>
      <c r="W119" s="40"/>
    </row>
    <row r="120" customFormat="false" ht="13.8" hidden="false" customHeight="false" outlineLevel="0" collapsed="false">
      <c r="C120" s="41"/>
      <c r="D120" s="12" t="n">
        <f aca="false">D119+1</f>
        <v>32</v>
      </c>
      <c r="E120" s="12" t="s">
        <v>289</v>
      </c>
      <c r="F120" s="40" t="n">
        <f aca="false">IF($O$16=E120, D120, 0)</f>
        <v>0</v>
      </c>
      <c r="G120" s="12"/>
      <c r="H120" s="14" t="s">
        <v>245</v>
      </c>
      <c r="I120" s="12" t="s">
        <v>290</v>
      </c>
      <c r="J120" s="12"/>
      <c r="K120" s="12" t="n">
        <v>34</v>
      </c>
      <c r="L120" s="40" t="n">
        <v>64</v>
      </c>
      <c r="M120" s="0"/>
      <c r="N120" s="41" t="n">
        <v>4</v>
      </c>
      <c r="O120" s="12" t="s">
        <v>96</v>
      </c>
      <c r="P120" s="12"/>
      <c r="Q120" s="12"/>
      <c r="R120" s="12" t="n">
        <f aca="false">IF($I$10=$O120, N120, 0)</f>
        <v>0</v>
      </c>
      <c r="S120" s="12"/>
      <c r="T120" s="12"/>
      <c r="U120" s="12"/>
      <c r="V120" s="12"/>
      <c r="W120" s="40"/>
    </row>
    <row r="121" customFormat="false" ht="13.8" hidden="false" customHeight="false" outlineLevel="0" collapsed="false">
      <c r="C121" s="41"/>
      <c r="D121" s="12" t="n">
        <f aca="false">D120+1</f>
        <v>33</v>
      </c>
      <c r="E121" s="12" t="s">
        <v>291</v>
      </c>
      <c r="F121" s="40" t="n">
        <f aca="false">IF($O$16=E121, D121, 0)</f>
        <v>0</v>
      </c>
      <c r="G121" s="12"/>
      <c r="H121" s="12"/>
      <c r="I121" s="12" t="s">
        <v>292</v>
      </c>
      <c r="J121" s="12"/>
      <c r="K121" s="12" t="n">
        <v>21</v>
      </c>
      <c r="L121" s="40" t="n">
        <v>42</v>
      </c>
      <c r="M121" s="0"/>
      <c r="N121" s="41" t="n">
        <v>8</v>
      </c>
      <c r="O121" s="12" t="s">
        <v>98</v>
      </c>
      <c r="P121" s="12"/>
      <c r="Q121" s="12"/>
      <c r="R121" s="12" t="n">
        <f aca="false">IF($I$10=$O121, N121, 0)</f>
        <v>0</v>
      </c>
      <c r="S121" s="12"/>
      <c r="T121" s="12"/>
      <c r="U121" s="12"/>
      <c r="V121" s="12"/>
      <c r="W121" s="40"/>
    </row>
    <row r="122" customFormat="false" ht="13.8" hidden="false" customHeight="false" outlineLevel="0" collapsed="false">
      <c r="C122" s="41"/>
      <c r="D122" s="12" t="n">
        <f aca="false">D121+1</f>
        <v>34</v>
      </c>
      <c r="E122" s="12" t="s">
        <v>293</v>
      </c>
      <c r="F122" s="40" t="n">
        <f aca="false">IF($O$16=E122, D122, 0)</f>
        <v>0</v>
      </c>
      <c r="G122" s="12"/>
      <c r="H122" s="12"/>
      <c r="I122" s="12" t="s">
        <v>294</v>
      </c>
      <c r="J122" s="12"/>
      <c r="K122" s="12" t="n">
        <v>13</v>
      </c>
      <c r="L122" s="40" t="n">
        <v>26</v>
      </c>
      <c r="M122" s="0"/>
      <c r="N122" s="41" t="n">
        <v>16</v>
      </c>
      <c r="O122" s="12" t="s">
        <v>100</v>
      </c>
      <c r="P122" s="12"/>
      <c r="Q122" s="12"/>
      <c r="R122" s="12" t="n">
        <f aca="false">IF($I$10=$O122, N122, 0)</f>
        <v>0</v>
      </c>
      <c r="S122" s="12"/>
      <c r="T122" s="12"/>
      <c r="U122" s="12"/>
      <c r="V122" s="12"/>
      <c r="W122" s="40"/>
    </row>
    <row r="123" customFormat="false" ht="13.8" hidden="false" customHeight="false" outlineLevel="0" collapsed="false">
      <c r="C123" s="41"/>
      <c r="D123" s="12" t="n">
        <f aca="false">D122+1</f>
        <v>35</v>
      </c>
      <c r="E123" s="12" t="s">
        <v>295</v>
      </c>
      <c r="F123" s="40" t="n">
        <f aca="false">IF($O$16=E123, D123, 0)</f>
        <v>0</v>
      </c>
      <c r="G123" s="12"/>
      <c r="H123" s="12"/>
      <c r="I123" s="12" t="s">
        <v>296</v>
      </c>
      <c r="J123" s="12"/>
      <c r="K123" s="12" t="n">
        <v>8</v>
      </c>
      <c r="L123" s="40" t="n">
        <v>16</v>
      </c>
      <c r="M123" s="0"/>
      <c r="N123" s="41" t="n">
        <v>32</v>
      </c>
      <c r="O123" s="12" t="s">
        <v>102</v>
      </c>
      <c r="P123" s="12"/>
      <c r="Q123" s="12"/>
      <c r="R123" s="12" t="n">
        <f aca="false">IF($I$10=$O123, N123, 0)</f>
        <v>0</v>
      </c>
      <c r="S123" s="12"/>
      <c r="T123" s="12"/>
      <c r="U123" s="12"/>
      <c r="V123" s="12"/>
      <c r="W123" s="40"/>
    </row>
    <row r="124" customFormat="false" ht="13.8" hidden="false" customHeight="false" outlineLevel="0" collapsed="false">
      <c r="C124" s="41"/>
      <c r="D124" s="12" t="n">
        <f aca="false">D123+1</f>
        <v>36</v>
      </c>
      <c r="E124" s="12" t="s">
        <v>297</v>
      </c>
      <c r="F124" s="40" t="n">
        <f aca="false">IF($O$16=E124, D124, 0)</f>
        <v>0</v>
      </c>
      <c r="G124" s="12"/>
      <c r="H124" s="12"/>
      <c r="I124" s="12" t="s">
        <v>246</v>
      </c>
      <c r="J124" s="12"/>
      <c r="K124" s="12" t="n">
        <v>5</v>
      </c>
      <c r="L124" s="40" t="n">
        <v>10</v>
      </c>
      <c r="M124" s="0"/>
      <c r="N124" s="41" t="n">
        <v>64</v>
      </c>
      <c r="O124" s="12" t="s">
        <v>104</v>
      </c>
      <c r="P124" s="12"/>
      <c r="Q124" s="12"/>
      <c r="R124" s="12" t="n">
        <f aca="false">IF($I$10=$O124, N124, 0)</f>
        <v>0</v>
      </c>
      <c r="S124" s="12"/>
      <c r="T124" s="12"/>
      <c r="U124" s="12"/>
      <c r="V124" s="12"/>
      <c r="W124" s="40"/>
    </row>
    <row r="125" customFormat="false" ht="13.8" hidden="false" customHeight="false" outlineLevel="0" collapsed="false">
      <c r="C125" s="41"/>
      <c r="D125" s="12" t="n">
        <f aca="false">D124+1</f>
        <v>37</v>
      </c>
      <c r="E125" s="12" t="s">
        <v>298</v>
      </c>
      <c r="F125" s="40" t="n">
        <f aca="false">IF($O$16=E125, D125, 0)</f>
        <v>0</v>
      </c>
      <c r="G125" s="12"/>
      <c r="H125" s="12"/>
      <c r="I125" s="12" t="s">
        <v>299</v>
      </c>
      <c r="J125" s="12"/>
      <c r="K125" s="12"/>
      <c r="L125" s="40"/>
      <c r="M125" s="0"/>
      <c r="N125" s="41" t="n">
        <v>256</v>
      </c>
      <c r="O125" s="12" t="s">
        <v>105</v>
      </c>
      <c r="P125" s="12"/>
      <c r="Q125" s="12"/>
      <c r="R125" s="12" t="n">
        <f aca="false">IF($I$10=$O125, N125, 0)</f>
        <v>0</v>
      </c>
      <c r="S125" s="12"/>
      <c r="T125" s="12"/>
      <c r="U125" s="12"/>
      <c r="V125" s="12"/>
      <c r="W125" s="40"/>
    </row>
    <row r="126" customFormat="false" ht="13.8" hidden="false" customHeight="false" outlineLevel="0" collapsed="false">
      <c r="C126" s="41"/>
      <c r="D126" s="12" t="n">
        <f aca="false">D125+1</f>
        <v>38</v>
      </c>
      <c r="E126" s="12" t="s">
        <v>300</v>
      </c>
      <c r="F126" s="40" t="n">
        <f aca="false">IF($O$16=E126, D126, 0)</f>
        <v>0</v>
      </c>
      <c r="G126" s="12"/>
      <c r="H126" s="12"/>
      <c r="I126" s="12"/>
      <c r="J126" s="12"/>
      <c r="K126" s="12"/>
      <c r="L126" s="40"/>
      <c r="M126" s="0"/>
      <c r="N126" s="41"/>
      <c r="O126" s="12"/>
      <c r="P126" s="12"/>
      <c r="Q126" s="12"/>
      <c r="R126" s="12" t="n">
        <f aca="false">SUM(R118:R125)</f>
        <v>2</v>
      </c>
      <c r="S126" s="12"/>
      <c r="T126" s="12"/>
      <c r="U126" s="12"/>
      <c r="V126" s="12"/>
      <c r="W126" s="40"/>
    </row>
    <row r="127" customFormat="false" ht="13.8" hidden="false" customHeight="false" outlineLevel="0" collapsed="false">
      <c r="C127" s="41"/>
      <c r="D127" s="12" t="n">
        <f aca="false">D126+1</f>
        <v>39</v>
      </c>
      <c r="E127" s="12" t="s">
        <v>301</v>
      </c>
      <c r="F127" s="40" t="n">
        <f aca="false">IF($O$16=E127, D127, 0)</f>
        <v>0</v>
      </c>
      <c r="G127" s="12"/>
      <c r="H127" s="14" t="s">
        <v>125</v>
      </c>
      <c r="I127" s="12" t="s">
        <v>26</v>
      </c>
      <c r="J127" s="12"/>
      <c r="K127" s="12"/>
      <c r="L127" s="40"/>
      <c r="M127" s="0"/>
      <c r="N127" s="41" t="s">
        <v>107</v>
      </c>
      <c r="O127" s="12"/>
      <c r="P127" s="12"/>
      <c r="Q127" s="12"/>
      <c r="R127" s="12"/>
      <c r="S127" s="12"/>
      <c r="T127" s="12"/>
      <c r="U127" s="12"/>
      <c r="V127" s="12"/>
      <c r="W127" s="40"/>
    </row>
    <row r="128" customFormat="false" ht="13.8" hidden="false" customHeight="false" outlineLevel="0" collapsed="false">
      <c r="C128" s="41"/>
      <c r="D128" s="12" t="n">
        <f aca="false">D127+1</f>
        <v>40</v>
      </c>
      <c r="E128" s="12" t="s">
        <v>302</v>
      </c>
      <c r="F128" s="40" t="n">
        <f aca="false">IF($O$16=E128, D128, 0)</f>
        <v>0</v>
      </c>
      <c r="G128" s="12"/>
      <c r="H128" s="12"/>
      <c r="I128" s="12" t="s">
        <v>63</v>
      </c>
      <c r="J128" s="12"/>
      <c r="K128" s="12"/>
      <c r="L128" s="40"/>
      <c r="M128" s="0"/>
      <c r="N128" s="41"/>
      <c r="O128" s="12" t="n">
        <v>1</v>
      </c>
      <c r="P128" s="12"/>
      <c r="Q128" s="12"/>
      <c r="R128" s="12"/>
      <c r="S128" s="12"/>
      <c r="T128" s="12"/>
      <c r="U128" s="12"/>
      <c r="V128" s="12"/>
      <c r="W128" s="40"/>
    </row>
    <row r="129" customFormat="false" ht="13.8" hidden="false" customHeight="false" outlineLevel="0" collapsed="false">
      <c r="C129" s="41"/>
      <c r="D129" s="12" t="n">
        <f aca="false">D128+1</f>
        <v>41</v>
      </c>
      <c r="E129" s="12" t="s">
        <v>303</v>
      </c>
      <c r="F129" s="40" t="n">
        <f aca="false">IF($O$16=E129, D129, 0)</f>
        <v>0</v>
      </c>
      <c r="G129" s="12"/>
      <c r="H129" s="12"/>
      <c r="I129" s="12"/>
      <c r="J129" s="12"/>
      <c r="K129" s="12"/>
      <c r="L129" s="40"/>
      <c r="M129" s="0"/>
      <c r="N129" s="41"/>
      <c r="O129" s="12" t="n">
        <v>2</v>
      </c>
      <c r="P129" s="12"/>
      <c r="Q129" s="12"/>
      <c r="R129" s="12"/>
      <c r="S129" s="12"/>
      <c r="T129" s="12"/>
      <c r="U129" s="12"/>
      <c r="V129" s="12"/>
      <c r="W129" s="40"/>
    </row>
    <row r="130" customFormat="false" ht="13.8" hidden="false" customHeight="false" outlineLevel="0" collapsed="false">
      <c r="C130" s="41"/>
      <c r="D130" s="12" t="n">
        <f aca="false">D129+1</f>
        <v>42</v>
      </c>
      <c r="E130" s="12" t="s">
        <v>304</v>
      </c>
      <c r="F130" s="40" t="n">
        <f aca="false">IF($O$16=E130, D130, 0)</f>
        <v>0</v>
      </c>
      <c r="G130" s="12"/>
      <c r="H130" s="14" t="s">
        <v>248</v>
      </c>
      <c r="I130" s="12" t="s">
        <v>305</v>
      </c>
      <c r="J130" s="12"/>
      <c r="K130" s="12"/>
      <c r="L130" s="40"/>
      <c r="M130" s="0"/>
      <c r="N130" s="41"/>
      <c r="O130" s="14" t="s">
        <v>110</v>
      </c>
      <c r="P130" s="12"/>
      <c r="Q130" s="12"/>
      <c r="R130" s="12"/>
      <c r="S130" s="12"/>
      <c r="T130" s="12"/>
      <c r="U130" s="12"/>
      <c r="V130" s="12"/>
      <c r="W130" s="40"/>
    </row>
    <row r="131" customFormat="false" ht="13.8" hidden="false" customHeight="false" outlineLevel="0" collapsed="false">
      <c r="C131" s="41"/>
      <c r="D131" s="12" t="n">
        <f aca="false">D130+1</f>
        <v>43</v>
      </c>
      <c r="E131" s="12" t="s">
        <v>306</v>
      </c>
      <c r="F131" s="40" t="n">
        <f aca="false">IF($O$16=E131, D131, 0)</f>
        <v>0</v>
      </c>
      <c r="G131" s="12"/>
      <c r="H131" s="12"/>
      <c r="I131" s="12" t="s">
        <v>249</v>
      </c>
      <c r="J131" s="12"/>
      <c r="K131" s="12"/>
      <c r="L131" s="40"/>
      <c r="M131" s="0"/>
      <c r="N131" s="41"/>
      <c r="O131" s="12" t="n">
        <v>64</v>
      </c>
      <c r="P131" s="12"/>
      <c r="Q131" s="12"/>
      <c r="R131" s="12"/>
      <c r="S131" s="12"/>
      <c r="T131" s="12"/>
      <c r="U131" s="12"/>
      <c r="V131" s="12"/>
      <c r="W131" s="40"/>
    </row>
    <row r="132" customFormat="false" ht="13.8" hidden="false" customHeight="false" outlineLevel="0" collapsed="false">
      <c r="C132" s="41"/>
      <c r="D132" s="12" t="n">
        <f aca="false">D131+1</f>
        <v>44</v>
      </c>
      <c r="E132" s="12" t="s">
        <v>307</v>
      </c>
      <c r="F132" s="40" t="n">
        <f aca="false">IF($O$16=E132, D132, 0)</f>
        <v>0</v>
      </c>
      <c r="G132" s="12"/>
      <c r="H132" s="12"/>
      <c r="I132" s="12"/>
      <c r="J132" s="12"/>
      <c r="K132" s="12"/>
      <c r="L132" s="40"/>
      <c r="M132" s="0"/>
      <c r="N132" s="41"/>
      <c r="O132" s="12"/>
      <c r="P132" s="12"/>
      <c r="Q132" s="12"/>
      <c r="R132" s="12"/>
      <c r="S132" s="12"/>
      <c r="T132" s="12"/>
      <c r="U132" s="12"/>
      <c r="V132" s="12"/>
      <c r="W132" s="40"/>
    </row>
    <row r="133" customFormat="false" ht="13.8" hidden="false" customHeight="false" outlineLevel="0" collapsed="false">
      <c r="C133" s="41"/>
      <c r="D133" s="12" t="n">
        <f aca="false">D132+1</f>
        <v>45</v>
      </c>
      <c r="E133" s="12" t="s">
        <v>308</v>
      </c>
      <c r="F133" s="40" t="n">
        <f aca="false">IF($O$16=E133, D133, 0)</f>
        <v>0</v>
      </c>
      <c r="G133" s="12"/>
      <c r="H133" s="14" t="s">
        <v>33</v>
      </c>
      <c r="I133" s="12" t="s">
        <v>26</v>
      </c>
      <c r="J133" s="12"/>
      <c r="K133" s="12"/>
      <c r="L133" s="40"/>
      <c r="M133" s="0"/>
      <c r="N133" s="41" t="s">
        <v>114</v>
      </c>
      <c r="O133" s="12"/>
      <c r="P133" s="12"/>
      <c r="Q133" s="12"/>
      <c r="R133" s="12"/>
      <c r="S133" s="12"/>
      <c r="T133" s="12"/>
      <c r="U133" s="12"/>
      <c r="V133" s="12"/>
      <c r="W133" s="40"/>
    </row>
    <row r="134" customFormat="false" ht="13.8" hidden="false" customHeight="false" outlineLevel="0" collapsed="false">
      <c r="C134" s="41"/>
      <c r="D134" s="12" t="n">
        <f aca="false">D133+1</f>
        <v>46</v>
      </c>
      <c r="E134" s="12" t="s">
        <v>309</v>
      </c>
      <c r="F134" s="40" t="n">
        <f aca="false">IF($O$16=E134, D134, 0)</f>
        <v>0</v>
      </c>
      <c r="G134" s="12"/>
      <c r="H134" s="12"/>
      <c r="I134" s="12" t="s">
        <v>63</v>
      </c>
      <c r="J134" s="12"/>
      <c r="K134" s="12"/>
      <c r="L134" s="40"/>
      <c r="M134" s="0"/>
      <c r="N134" s="41"/>
      <c r="O134" s="12" t="n">
        <v>1</v>
      </c>
      <c r="P134" s="12"/>
      <c r="Q134" s="12"/>
      <c r="R134" s="12"/>
      <c r="S134" s="12"/>
      <c r="T134" s="12"/>
      <c r="U134" s="12"/>
      <c r="V134" s="12"/>
      <c r="W134" s="40"/>
    </row>
    <row r="135" customFormat="false" ht="13.8" hidden="false" customHeight="false" outlineLevel="0" collapsed="false">
      <c r="C135" s="41"/>
      <c r="D135" s="12" t="n">
        <f aca="false">D134+1</f>
        <v>47</v>
      </c>
      <c r="E135" s="12" t="s">
        <v>310</v>
      </c>
      <c r="F135" s="40" t="n">
        <f aca="false">IF($O$16=E135, D135, 0)</f>
        <v>0</v>
      </c>
      <c r="G135" s="12"/>
      <c r="H135" s="12"/>
      <c r="I135" s="12"/>
      <c r="J135" s="12"/>
      <c r="K135" s="12"/>
      <c r="L135" s="40"/>
      <c r="M135" s="0"/>
      <c r="N135" s="41"/>
      <c r="O135" s="12" t="n">
        <v>2</v>
      </c>
      <c r="P135" s="12"/>
      <c r="Q135" s="12"/>
      <c r="R135" s="12"/>
      <c r="S135" s="12"/>
      <c r="T135" s="12"/>
      <c r="U135" s="12"/>
      <c r="V135" s="12"/>
      <c r="W135" s="40"/>
    </row>
    <row r="136" customFormat="false" ht="13.8" hidden="false" customHeight="false" outlineLevel="0" collapsed="false">
      <c r="C136" s="41"/>
      <c r="D136" s="12" t="n">
        <f aca="false">D135+1</f>
        <v>48</v>
      </c>
      <c r="E136" s="12" t="s">
        <v>311</v>
      </c>
      <c r="F136" s="40" t="n">
        <f aca="false">IF($O$16=E136, D136, 0)</f>
        <v>0</v>
      </c>
      <c r="G136" s="12"/>
      <c r="H136" s="14" t="s">
        <v>25</v>
      </c>
      <c r="I136" s="12" t="s">
        <v>26</v>
      </c>
      <c r="J136" s="12"/>
      <c r="K136" s="12"/>
      <c r="L136" s="40"/>
      <c r="M136" s="0"/>
      <c r="N136" s="41"/>
      <c r="O136" s="14" t="s">
        <v>110</v>
      </c>
      <c r="P136" s="12"/>
      <c r="Q136" s="12"/>
      <c r="R136" s="12"/>
      <c r="S136" s="12"/>
      <c r="T136" s="12"/>
      <c r="U136" s="12"/>
      <c r="V136" s="12"/>
      <c r="W136" s="40"/>
    </row>
    <row r="137" customFormat="false" ht="13.8" hidden="false" customHeight="false" outlineLevel="0" collapsed="false">
      <c r="C137" s="41"/>
      <c r="D137" s="12" t="n">
        <f aca="false">D136+1</f>
        <v>49</v>
      </c>
      <c r="E137" s="12" t="s">
        <v>312</v>
      </c>
      <c r="F137" s="40" t="n">
        <f aca="false">IF($O$16=E137, D137, 0)</f>
        <v>0</v>
      </c>
      <c r="G137" s="12"/>
      <c r="H137" s="12"/>
      <c r="I137" s="12" t="s">
        <v>63</v>
      </c>
      <c r="J137" s="12"/>
      <c r="K137" s="12"/>
      <c r="L137" s="40"/>
      <c r="M137" s="0"/>
      <c r="N137" s="41"/>
      <c r="O137" s="12" t="n">
        <v>128</v>
      </c>
      <c r="P137" s="12"/>
      <c r="Q137" s="12"/>
      <c r="R137" s="12"/>
      <c r="S137" s="12"/>
      <c r="T137" s="12"/>
      <c r="U137" s="12"/>
      <c r="V137" s="12"/>
      <c r="W137" s="40"/>
    </row>
    <row r="138" customFormat="false" ht="13.8" hidden="false" customHeight="false" outlineLevel="0" collapsed="false">
      <c r="C138" s="41"/>
      <c r="D138" s="12" t="n">
        <f aca="false">D137+1</f>
        <v>50</v>
      </c>
      <c r="E138" s="12" t="s">
        <v>244</v>
      </c>
      <c r="F138" s="40" t="n">
        <f aca="false">IF($O$16=E138, D138, 0)</f>
        <v>50</v>
      </c>
      <c r="G138" s="12"/>
      <c r="H138" s="12"/>
      <c r="I138" s="12"/>
      <c r="J138" s="12"/>
      <c r="K138" s="12"/>
      <c r="L138" s="40"/>
      <c r="M138" s="0"/>
      <c r="N138" s="41"/>
      <c r="O138" s="12"/>
      <c r="P138" s="12"/>
      <c r="Q138" s="12"/>
      <c r="R138" s="12"/>
      <c r="S138" s="12"/>
      <c r="T138" s="12"/>
      <c r="U138" s="12"/>
      <c r="V138" s="12"/>
      <c r="W138" s="40"/>
    </row>
    <row r="139" customFormat="false" ht="13.8" hidden="false" customHeight="false" outlineLevel="0" collapsed="false">
      <c r="C139" s="41"/>
      <c r="D139" s="12" t="n">
        <f aca="false">D138+1</f>
        <v>51</v>
      </c>
      <c r="E139" s="12" t="s">
        <v>313</v>
      </c>
      <c r="F139" s="40" t="n">
        <f aca="false">IF($O$16=E139, D139, 0)</f>
        <v>0</v>
      </c>
      <c r="G139" s="12"/>
      <c r="H139" s="14"/>
      <c r="I139" s="12"/>
      <c r="J139" s="0"/>
      <c r="K139" s="0"/>
      <c r="L139" s="40"/>
      <c r="M139" s="0"/>
      <c r="N139" s="41" t="s">
        <v>117</v>
      </c>
      <c r="O139" s="12"/>
      <c r="P139" s="12"/>
      <c r="Q139" s="12"/>
      <c r="R139" s="12"/>
      <c r="S139" s="12"/>
      <c r="T139" s="12"/>
      <c r="U139" s="12"/>
      <c r="V139" s="12"/>
      <c r="W139" s="40"/>
    </row>
    <row r="140" customFormat="false" ht="13.8" hidden="false" customHeight="false" outlineLevel="0" collapsed="false">
      <c r="C140" s="41"/>
      <c r="D140" s="12" t="n">
        <f aca="false">D139+1</f>
        <v>52</v>
      </c>
      <c r="E140" s="12" t="s">
        <v>314</v>
      </c>
      <c r="F140" s="40" t="n">
        <f aca="false">IF($O$16=E140, D140, 0)</f>
        <v>0</v>
      </c>
      <c r="G140" s="12"/>
      <c r="H140" s="12"/>
      <c r="I140" s="12"/>
      <c r="J140" s="0"/>
      <c r="K140" s="0"/>
      <c r="L140" s="40"/>
      <c r="M140" s="0"/>
      <c r="N140" s="41"/>
      <c r="O140" s="12" t="s">
        <v>118</v>
      </c>
      <c r="P140" s="12"/>
      <c r="Q140" s="12"/>
      <c r="R140" s="12"/>
      <c r="S140" s="12"/>
      <c r="T140" s="12"/>
      <c r="U140" s="12"/>
      <c r="V140" s="12"/>
      <c r="W140" s="40"/>
    </row>
    <row r="141" customFormat="false" ht="13.8" hidden="false" customHeight="false" outlineLevel="0" collapsed="false">
      <c r="C141" s="41"/>
      <c r="D141" s="12" t="n">
        <f aca="false">D140+1</f>
        <v>53</v>
      </c>
      <c r="E141" s="12" t="s">
        <v>315</v>
      </c>
      <c r="F141" s="40" t="n">
        <f aca="false">IF($O$16=E141, D141, 0)</f>
        <v>0</v>
      </c>
      <c r="G141" s="12"/>
      <c r="H141" s="12"/>
      <c r="I141" s="12"/>
      <c r="J141" s="0"/>
      <c r="K141" s="0"/>
      <c r="L141" s="40"/>
      <c r="M141" s="0"/>
      <c r="N141" s="41"/>
      <c r="O141" s="12" t="s">
        <v>119</v>
      </c>
      <c r="P141" s="12"/>
      <c r="Q141" s="12"/>
      <c r="R141" s="12"/>
      <c r="S141" s="12"/>
      <c r="T141" s="12"/>
      <c r="U141" s="12"/>
      <c r="V141" s="12"/>
      <c r="W141" s="40"/>
    </row>
    <row r="142" customFormat="false" ht="13.8" hidden="false" customHeight="false" outlineLevel="0" collapsed="false">
      <c r="C142" s="41"/>
      <c r="D142" s="12" t="n">
        <f aca="false">D141+1</f>
        <v>54</v>
      </c>
      <c r="E142" s="12" t="s">
        <v>316</v>
      </c>
      <c r="F142" s="40" t="n">
        <f aca="false">IF($O$16=E142, D142, 0)</f>
        <v>0</v>
      </c>
      <c r="G142" s="12"/>
      <c r="H142" s="12"/>
      <c r="I142" s="12"/>
      <c r="J142" s="0"/>
      <c r="K142" s="0"/>
      <c r="L142" s="40"/>
      <c r="M142" s="0"/>
      <c r="N142" s="41"/>
      <c r="O142" s="12" t="s">
        <v>120</v>
      </c>
      <c r="P142" s="12"/>
      <c r="Q142" s="12"/>
      <c r="R142" s="12"/>
      <c r="S142" s="12"/>
      <c r="T142" s="12"/>
      <c r="U142" s="12"/>
      <c r="V142" s="12"/>
      <c r="W142" s="40"/>
    </row>
    <row r="143" customFormat="false" ht="13.8" hidden="false" customHeight="false" outlineLevel="0" collapsed="false">
      <c r="C143" s="41"/>
      <c r="D143" s="12" t="n">
        <f aca="false">D142+1</f>
        <v>55</v>
      </c>
      <c r="E143" s="12" t="s">
        <v>317</v>
      </c>
      <c r="F143" s="40" t="n">
        <f aca="false">IF($O$16=E143, D143, 0)</f>
        <v>0</v>
      </c>
      <c r="G143" s="12"/>
      <c r="H143" s="12"/>
      <c r="I143" s="12"/>
      <c r="J143" s="0"/>
      <c r="K143" s="0"/>
      <c r="L143" s="40"/>
      <c r="M143" s="0"/>
      <c r="N143" s="41"/>
      <c r="O143" s="12" t="s">
        <v>121</v>
      </c>
      <c r="P143" s="12"/>
      <c r="Q143" s="12"/>
      <c r="R143" s="12"/>
      <c r="S143" s="12"/>
      <c r="T143" s="12"/>
      <c r="U143" s="12"/>
      <c r="V143" s="12"/>
      <c r="W143" s="40"/>
    </row>
    <row r="144" customFormat="false" ht="13.8" hidden="false" customHeight="false" outlineLevel="0" collapsed="false">
      <c r="C144" s="41"/>
      <c r="D144" s="12" t="n">
        <f aca="false">D143+1</f>
        <v>56</v>
      </c>
      <c r="E144" s="12" t="s">
        <v>318</v>
      </c>
      <c r="F144" s="40" t="n">
        <f aca="false">IF($O$16=E144, D144, 0)</f>
        <v>0</v>
      </c>
      <c r="G144" s="12"/>
      <c r="H144" s="12"/>
      <c r="I144" s="12"/>
      <c r="J144" s="0"/>
      <c r="K144" s="0"/>
      <c r="L144" s="40"/>
      <c r="M144" s="0"/>
      <c r="N144" s="41"/>
      <c r="O144" s="12" t="s">
        <v>122</v>
      </c>
      <c r="P144" s="12"/>
      <c r="Q144" s="12"/>
      <c r="R144" s="12"/>
      <c r="S144" s="12"/>
      <c r="T144" s="12"/>
      <c r="U144" s="12"/>
      <c r="V144" s="12"/>
      <c r="W144" s="40"/>
    </row>
    <row r="145" customFormat="false" ht="13.8" hidden="false" customHeight="false" outlineLevel="0" collapsed="false">
      <c r="C145" s="41"/>
      <c r="D145" s="12" t="n">
        <f aca="false">D144+1</f>
        <v>57</v>
      </c>
      <c r="E145" s="12" t="s">
        <v>319</v>
      </c>
      <c r="F145" s="40" t="n">
        <f aca="false">IF($O$16=E145, D145, 0)</f>
        <v>0</v>
      </c>
      <c r="G145" s="12"/>
      <c r="H145" s="12"/>
      <c r="I145" s="12"/>
      <c r="J145" s="0"/>
      <c r="K145" s="0"/>
      <c r="L145" s="40"/>
      <c r="M145" s="0"/>
      <c r="N145" s="41"/>
      <c r="O145" s="12" t="s">
        <v>123</v>
      </c>
      <c r="P145" s="12"/>
      <c r="Q145" s="12"/>
      <c r="R145" s="12"/>
      <c r="S145" s="12"/>
      <c r="T145" s="12"/>
      <c r="U145" s="12"/>
      <c r="V145" s="12"/>
      <c r="W145" s="40"/>
    </row>
    <row r="146" customFormat="false" ht="13.8" hidden="false" customHeight="false" outlineLevel="0" collapsed="false">
      <c r="C146" s="41"/>
      <c r="D146" s="12" t="n">
        <f aca="false">D145+1</f>
        <v>58</v>
      </c>
      <c r="E146" s="12" t="s">
        <v>320</v>
      </c>
      <c r="F146" s="40" t="n">
        <f aca="false">IF($O$16=E146, D146, 0)</f>
        <v>0</v>
      </c>
      <c r="G146" s="12"/>
      <c r="H146" s="12"/>
      <c r="I146" s="12"/>
      <c r="J146" s="0"/>
      <c r="K146" s="0"/>
      <c r="L146" s="40"/>
      <c r="M146" s="0"/>
      <c r="N146" s="41"/>
      <c r="O146" s="12" t="s">
        <v>124</v>
      </c>
      <c r="P146" s="12"/>
      <c r="Q146" s="12"/>
      <c r="R146" s="12"/>
      <c r="S146" s="12"/>
      <c r="T146" s="12"/>
      <c r="U146" s="12"/>
      <c r="V146" s="12"/>
      <c r="W146" s="40"/>
    </row>
    <row r="147" customFormat="false" ht="13.8" hidden="false" customHeight="false" outlineLevel="0" collapsed="false">
      <c r="C147" s="41"/>
      <c r="D147" s="12" t="n">
        <f aca="false">D146+1</f>
        <v>59</v>
      </c>
      <c r="E147" s="12" t="s">
        <v>321</v>
      </c>
      <c r="F147" s="40" t="n">
        <f aca="false">IF($O$16=E147, D147, 0)</f>
        <v>0</v>
      </c>
      <c r="G147" s="12"/>
      <c r="H147" s="12"/>
      <c r="I147" s="12"/>
      <c r="J147" s="0"/>
      <c r="K147" s="0"/>
      <c r="L147" s="40"/>
      <c r="M147" s="0"/>
      <c r="N147" s="41"/>
      <c r="O147" s="12" t="s">
        <v>126</v>
      </c>
      <c r="P147" s="12"/>
      <c r="Q147" s="12"/>
      <c r="R147" s="12"/>
      <c r="S147" s="12"/>
      <c r="T147" s="12"/>
      <c r="U147" s="12"/>
      <c r="V147" s="12"/>
      <c r="W147" s="40"/>
    </row>
    <row r="148" customFormat="false" ht="13.8" hidden="false" customHeight="false" outlineLevel="0" collapsed="false">
      <c r="C148" s="41"/>
      <c r="D148" s="12" t="n">
        <f aca="false">D147+1</f>
        <v>60</v>
      </c>
      <c r="E148" s="12" t="s">
        <v>322</v>
      </c>
      <c r="F148" s="40" t="n">
        <f aca="false">IF($O$16=E148, D148, 0)</f>
        <v>0</v>
      </c>
      <c r="G148" s="12"/>
      <c r="H148" s="12"/>
      <c r="I148" s="12"/>
      <c r="J148" s="0"/>
      <c r="K148" s="0"/>
      <c r="L148" s="40"/>
      <c r="M148" s="0"/>
      <c r="N148" s="41"/>
      <c r="O148" s="12"/>
      <c r="P148" s="12"/>
      <c r="Q148" s="12"/>
      <c r="R148" s="12"/>
      <c r="S148" s="12"/>
      <c r="T148" s="12"/>
      <c r="U148" s="12"/>
      <c r="V148" s="12"/>
      <c r="W148" s="40"/>
    </row>
    <row r="149" customFormat="false" ht="13.8" hidden="false" customHeight="false" outlineLevel="0" collapsed="false">
      <c r="C149" s="41"/>
      <c r="D149" s="12" t="n">
        <f aca="false">D148+1</f>
        <v>61</v>
      </c>
      <c r="E149" s="12" t="s">
        <v>323</v>
      </c>
      <c r="F149" s="40" t="n">
        <f aca="false">IF($O$16=E149, D149, 0)</f>
        <v>0</v>
      </c>
      <c r="G149" s="12"/>
      <c r="H149" s="12"/>
      <c r="I149" s="12"/>
      <c r="J149" s="12"/>
      <c r="K149" s="12"/>
      <c r="L149" s="40"/>
      <c r="M149" s="0"/>
      <c r="N149" s="41" t="s">
        <v>324</v>
      </c>
      <c r="O149" s="12"/>
      <c r="P149" s="12"/>
      <c r="Q149" s="12"/>
      <c r="R149" s="12"/>
      <c r="S149" s="12"/>
      <c r="T149" s="12"/>
      <c r="U149" s="12"/>
      <c r="V149" s="12"/>
      <c r="W149" s="40"/>
    </row>
    <row r="150" customFormat="false" ht="13.8" hidden="false" customHeight="false" outlineLevel="0" collapsed="false">
      <c r="C150" s="41"/>
      <c r="D150" s="12" t="n">
        <f aca="false">D149+1</f>
        <v>62</v>
      </c>
      <c r="E150" s="12" t="s">
        <v>325</v>
      </c>
      <c r="F150" s="40" t="n">
        <f aca="false">IF($O$16=E150, D150, 0)</f>
        <v>0</v>
      </c>
      <c r="G150" s="12"/>
      <c r="H150" s="12"/>
      <c r="I150" s="12"/>
      <c r="J150" s="12"/>
      <c r="K150" s="12"/>
      <c r="L150" s="40"/>
      <c r="M150" s="0"/>
      <c r="N150" s="41"/>
      <c r="O150" s="12" t="s">
        <v>326</v>
      </c>
      <c r="P150" s="12"/>
      <c r="Q150" s="12"/>
      <c r="R150" s="12"/>
      <c r="S150" s="12"/>
      <c r="T150" s="12"/>
      <c r="U150" s="12"/>
      <c r="V150" s="12"/>
      <c r="W150" s="40"/>
    </row>
    <row r="151" customFormat="false" ht="13.8" hidden="false" customHeight="false" outlineLevel="0" collapsed="false">
      <c r="C151" s="41"/>
      <c r="D151" s="12" t="n">
        <f aca="false">D150+1</f>
        <v>63</v>
      </c>
      <c r="E151" s="12" t="s">
        <v>327</v>
      </c>
      <c r="F151" s="40" t="n">
        <f aca="false">IF($O$16=E151, D151, 0)</f>
        <v>0</v>
      </c>
      <c r="G151" s="12"/>
      <c r="H151" s="12"/>
      <c r="I151" s="12"/>
      <c r="J151" s="12"/>
      <c r="K151" s="12"/>
      <c r="L151" s="40"/>
      <c r="M151" s="0"/>
      <c r="N151" s="41"/>
      <c r="O151" s="12" t="s">
        <v>328</v>
      </c>
      <c r="P151" s="12"/>
      <c r="Q151" s="12"/>
      <c r="R151" s="12"/>
      <c r="S151" s="12"/>
      <c r="T151" s="12"/>
      <c r="U151" s="12"/>
      <c r="V151" s="12"/>
      <c r="W151" s="40"/>
    </row>
    <row r="152" customFormat="false" ht="13.8" hidden="false" customHeight="false" outlineLevel="0" collapsed="false">
      <c r="C152" s="41"/>
      <c r="D152" s="12" t="n">
        <f aca="false">D151+1</f>
        <v>64</v>
      </c>
      <c r="E152" s="12" t="s">
        <v>329</v>
      </c>
      <c r="F152" s="40" t="n">
        <f aca="false">IF($O$16=E152, D152, 0)</f>
        <v>0</v>
      </c>
      <c r="G152" s="12"/>
      <c r="H152" s="12"/>
      <c r="I152" s="12"/>
      <c r="J152" s="12"/>
      <c r="K152" s="12"/>
      <c r="L152" s="40"/>
      <c r="M152" s="0"/>
      <c r="N152" s="41"/>
      <c r="O152" s="12" t="s">
        <v>330</v>
      </c>
      <c r="P152" s="12"/>
      <c r="Q152" s="12"/>
      <c r="R152" s="12"/>
      <c r="S152" s="12"/>
      <c r="T152" s="12"/>
      <c r="U152" s="12"/>
      <c r="V152" s="12"/>
      <c r="W152" s="40"/>
    </row>
    <row r="153" customFormat="false" ht="13.8" hidden="false" customHeight="false" outlineLevel="0" collapsed="false">
      <c r="C153" s="41"/>
      <c r="D153" s="12" t="n">
        <f aca="false">D152+1</f>
        <v>65</v>
      </c>
      <c r="E153" s="12" t="s">
        <v>331</v>
      </c>
      <c r="F153" s="40" t="n">
        <f aca="false">IF($O$16=E153, D153, 0)</f>
        <v>0</v>
      </c>
      <c r="G153" s="12"/>
      <c r="H153" s="12"/>
      <c r="I153" s="12"/>
      <c r="J153" s="12"/>
      <c r="K153" s="12"/>
      <c r="L153" s="40"/>
      <c r="M153" s="0"/>
      <c r="N153" s="41"/>
      <c r="O153" s="12" t="s">
        <v>332</v>
      </c>
      <c r="P153" s="12"/>
      <c r="Q153" s="12"/>
      <c r="R153" s="12"/>
      <c r="S153" s="12"/>
      <c r="T153" s="12"/>
      <c r="U153" s="12"/>
      <c r="V153" s="12"/>
      <c r="W153" s="40"/>
    </row>
    <row r="154" customFormat="false" ht="13.8" hidden="false" customHeight="false" outlineLevel="0" collapsed="false">
      <c r="C154" s="41"/>
      <c r="D154" s="12" t="n">
        <f aca="false">D153+1</f>
        <v>66</v>
      </c>
      <c r="E154" s="12" t="s">
        <v>333</v>
      </c>
      <c r="F154" s="40" t="n">
        <f aca="false">IF($O$16=E154, D154, 0)</f>
        <v>0</v>
      </c>
      <c r="G154" s="12"/>
      <c r="H154" s="12"/>
      <c r="I154" s="12"/>
      <c r="J154" s="12"/>
      <c r="K154" s="12"/>
      <c r="L154" s="40"/>
      <c r="M154" s="0"/>
      <c r="N154" s="41"/>
      <c r="O154" s="12" t="s">
        <v>334</v>
      </c>
      <c r="P154" s="12"/>
      <c r="Q154" s="12"/>
      <c r="R154" s="12"/>
      <c r="S154" s="12"/>
      <c r="T154" s="12"/>
      <c r="U154" s="12"/>
      <c r="V154" s="12"/>
      <c r="W154" s="40"/>
    </row>
    <row r="155" customFormat="false" ht="13.8" hidden="false" customHeight="false" outlineLevel="0" collapsed="false">
      <c r="C155" s="41"/>
      <c r="D155" s="12" t="n">
        <f aca="false">D154+1</f>
        <v>67</v>
      </c>
      <c r="E155" s="12" t="s">
        <v>335</v>
      </c>
      <c r="F155" s="40" t="n">
        <f aca="false">IF($O$16=E155, D155, 0)</f>
        <v>0</v>
      </c>
      <c r="G155" s="12"/>
      <c r="H155" s="12"/>
      <c r="I155" s="12"/>
      <c r="J155" s="12"/>
      <c r="K155" s="12"/>
      <c r="L155" s="40"/>
      <c r="M155" s="0"/>
      <c r="N155" s="41"/>
      <c r="O155" s="12" t="s">
        <v>336</v>
      </c>
      <c r="P155" s="12"/>
      <c r="Q155" s="12"/>
      <c r="R155" s="12"/>
      <c r="S155" s="12"/>
      <c r="T155" s="12"/>
      <c r="U155" s="12"/>
      <c r="V155" s="12"/>
      <c r="W155" s="40"/>
    </row>
    <row r="156" customFormat="false" ht="13.8" hidden="false" customHeight="false" outlineLevel="0" collapsed="false">
      <c r="C156" s="41"/>
      <c r="D156" s="12" t="n">
        <f aca="false">D155+1</f>
        <v>68</v>
      </c>
      <c r="E156" s="12" t="s">
        <v>337</v>
      </c>
      <c r="F156" s="40" t="n">
        <f aca="false">IF($O$16=E156, D156, 0)</f>
        <v>0</v>
      </c>
      <c r="G156" s="12"/>
      <c r="H156" s="12"/>
      <c r="I156" s="12"/>
      <c r="J156" s="12"/>
      <c r="K156" s="12"/>
      <c r="L156" s="40"/>
      <c r="M156" s="0"/>
      <c r="N156" s="41"/>
      <c r="O156" s="12" t="s">
        <v>338</v>
      </c>
      <c r="P156" s="12"/>
      <c r="Q156" s="12"/>
      <c r="R156" s="12"/>
      <c r="S156" s="12"/>
      <c r="T156" s="12"/>
      <c r="U156" s="12"/>
      <c r="V156" s="12"/>
      <c r="W156" s="40"/>
    </row>
    <row r="157" customFormat="false" ht="13.8" hidden="false" customHeight="false" outlineLevel="0" collapsed="false">
      <c r="C157" s="41"/>
      <c r="D157" s="12" t="n">
        <f aca="false">D156+1</f>
        <v>69</v>
      </c>
      <c r="E157" s="12" t="s">
        <v>339</v>
      </c>
      <c r="F157" s="40" t="n">
        <f aca="false">IF($O$16=E157, D157, 0)</f>
        <v>0</v>
      </c>
      <c r="G157" s="12"/>
      <c r="H157" s="12"/>
      <c r="I157" s="12"/>
      <c r="J157" s="12"/>
      <c r="K157" s="12"/>
      <c r="L157" s="40"/>
      <c r="M157" s="0"/>
      <c r="N157" s="41"/>
      <c r="O157" s="12"/>
      <c r="P157" s="12"/>
      <c r="Q157" s="12"/>
      <c r="R157" s="12"/>
      <c r="S157" s="12"/>
      <c r="T157" s="12"/>
      <c r="U157" s="12"/>
      <c r="V157" s="12"/>
      <c r="W157" s="40"/>
    </row>
    <row r="158" customFormat="false" ht="13.8" hidden="false" customHeight="false" outlineLevel="0" collapsed="false">
      <c r="C158" s="41"/>
      <c r="D158" s="12" t="n">
        <f aca="false">D157+1</f>
        <v>70</v>
      </c>
      <c r="E158" s="12" t="s">
        <v>340</v>
      </c>
      <c r="F158" s="40" t="n">
        <f aca="false">IF($O$16=E158, D158, 0)</f>
        <v>0</v>
      </c>
      <c r="G158" s="12"/>
      <c r="H158" s="12"/>
      <c r="I158" s="12"/>
      <c r="J158" s="12"/>
      <c r="K158" s="12"/>
      <c r="L158" s="40"/>
      <c r="M158" s="0"/>
      <c r="N158" s="41" t="s">
        <v>127</v>
      </c>
      <c r="O158" s="12"/>
      <c r="P158" s="12"/>
      <c r="Q158" s="12"/>
      <c r="R158" s="12"/>
      <c r="S158" s="12"/>
      <c r="T158" s="12"/>
      <c r="U158" s="12"/>
      <c r="V158" s="12"/>
      <c r="W158" s="40"/>
    </row>
    <row r="159" customFormat="false" ht="13.8" hidden="false" customHeight="false" outlineLevel="0" collapsed="false">
      <c r="C159" s="41"/>
      <c r="D159" s="12" t="n">
        <f aca="false">D158+1</f>
        <v>71</v>
      </c>
      <c r="E159" s="12" t="s">
        <v>341</v>
      </c>
      <c r="F159" s="40" t="n">
        <f aca="false">IF($O$16=E159, D159, 0)</f>
        <v>0</v>
      </c>
      <c r="G159" s="12"/>
      <c r="H159" s="12"/>
      <c r="I159" s="12"/>
      <c r="J159" s="12"/>
      <c r="K159" s="12"/>
      <c r="L159" s="40"/>
      <c r="M159" s="0"/>
      <c r="N159" s="41"/>
      <c r="O159" s="12" t="s">
        <v>128</v>
      </c>
      <c r="P159" s="12"/>
      <c r="Q159" s="12"/>
      <c r="R159" s="12"/>
      <c r="S159" s="12"/>
      <c r="T159" s="12"/>
      <c r="U159" s="12"/>
      <c r="V159" s="12"/>
      <c r="W159" s="40"/>
    </row>
    <row r="160" customFormat="false" ht="13.8" hidden="false" customHeight="false" outlineLevel="0" collapsed="false">
      <c r="C160" s="41"/>
      <c r="D160" s="12" t="n">
        <f aca="false">D159+1</f>
        <v>72</v>
      </c>
      <c r="E160" s="12" t="s">
        <v>342</v>
      </c>
      <c r="F160" s="40" t="n">
        <f aca="false">IF($O$16=E160, D160, 0)</f>
        <v>0</v>
      </c>
      <c r="G160" s="12"/>
      <c r="H160" s="12"/>
      <c r="I160" s="12"/>
      <c r="J160" s="12"/>
      <c r="K160" s="12"/>
      <c r="L160" s="40"/>
      <c r="M160" s="0"/>
      <c r="N160" s="41"/>
      <c r="O160" s="12" t="s">
        <v>129</v>
      </c>
      <c r="P160" s="12"/>
      <c r="Q160" s="12"/>
      <c r="R160" s="12"/>
      <c r="S160" s="12"/>
      <c r="T160" s="12"/>
      <c r="U160" s="12"/>
      <c r="V160" s="12"/>
      <c r="W160" s="40"/>
    </row>
    <row r="161" customFormat="false" ht="13.8" hidden="false" customHeight="false" outlineLevel="0" collapsed="false">
      <c r="C161" s="41"/>
      <c r="D161" s="12" t="n">
        <f aca="false">D160+1</f>
        <v>73</v>
      </c>
      <c r="E161" s="12" t="s">
        <v>343</v>
      </c>
      <c r="F161" s="40" t="n">
        <f aca="false">IF($O$16=E161, D161, 0)</f>
        <v>0</v>
      </c>
      <c r="G161" s="12"/>
      <c r="H161" s="12"/>
      <c r="I161" s="12"/>
      <c r="J161" s="12"/>
      <c r="K161" s="12"/>
      <c r="L161" s="40"/>
      <c r="M161" s="0"/>
      <c r="N161" s="41"/>
      <c r="O161" s="12"/>
      <c r="P161" s="12"/>
      <c r="Q161" s="12"/>
      <c r="R161" s="12"/>
      <c r="S161" s="12"/>
      <c r="T161" s="12"/>
      <c r="U161" s="12"/>
      <c r="V161" s="12"/>
      <c r="W161" s="40"/>
    </row>
    <row r="162" customFormat="false" ht="13.8" hidden="false" customHeight="false" outlineLevel="0" collapsed="false">
      <c r="C162" s="41"/>
      <c r="D162" s="12" t="n">
        <f aca="false">D161+1</f>
        <v>74</v>
      </c>
      <c r="E162" s="12" t="s">
        <v>344</v>
      </c>
      <c r="F162" s="40" t="n">
        <f aca="false">IF($O$16=E162, D162, 0)</f>
        <v>0</v>
      </c>
      <c r="G162" s="12"/>
      <c r="H162" s="12"/>
      <c r="I162" s="12"/>
      <c r="J162" s="12"/>
      <c r="K162" s="12"/>
      <c r="L162" s="40"/>
      <c r="M162" s="0"/>
      <c r="N162" s="41" t="s">
        <v>345</v>
      </c>
      <c r="O162" s="12"/>
      <c r="P162" s="12"/>
      <c r="Q162" s="12"/>
      <c r="R162" s="12"/>
      <c r="S162" s="12"/>
      <c r="T162" s="12"/>
      <c r="U162" s="12"/>
      <c r="V162" s="12"/>
      <c r="W162" s="40"/>
    </row>
    <row r="163" customFormat="false" ht="13.8" hidden="false" customHeight="false" outlineLevel="0" collapsed="false">
      <c r="C163" s="41"/>
      <c r="D163" s="12" t="n">
        <f aca="false">D162+1</f>
        <v>75</v>
      </c>
      <c r="E163" s="12" t="s">
        <v>346</v>
      </c>
      <c r="F163" s="40" t="n">
        <f aca="false">IF($O$16=E163, D163, 0)</f>
        <v>0</v>
      </c>
      <c r="G163" s="12"/>
      <c r="H163" s="12"/>
      <c r="I163" s="12"/>
      <c r="J163" s="12"/>
      <c r="K163" s="12"/>
      <c r="L163" s="40"/>
      <c r="M163" s="0"/>
      <c r="N163" s="41"/>
      <c r="O163" s="12" t="s">
        <v>347</v>
      </c>
      <c r="P163" s="12"/>
      <c r="Q163" s="12"/>
      <c r="R163" s="12"/>
      <c r="S163" s="12"/>
      <c r="T163" s="12"/>
      <c r="U163" s="12"/>
      <c r="V163" s="12"/>
      <c r="W163" s="40"/>
    </row>
    <row r="164" customFormat="false" ht="13.8" hidden="false" customHeight="false" outlineLevel="0" collapsed="false">
      <c r="C164" s="41"/>
      <c r="D164" s="12" t="n">
        <f aca="false">D163+1</f>
        <v>76</v>
      </c>
      <c r="E164" s="12" t="s">
        <v>348</v>
      </c>
      <c r="F164" s="40" t="n">
        <f aca="false">IF($O$16=E164, D164, 0)</f>
        <v>0</v>
      </c>
      <c r="G164" s="12"/>
      <c r="H164" s="12"/>
      <c r="I164" s="12"/>
      <c r="J164" s="12"/>
      <c r="K164" s="12"/>
      <c r="L164" s="40"/>
      <c r="M164" s="0"/>
      <c r="N164" s="41"/>
      <c r="O164" s="12" t="s">
        <v>349</v>
      </c>
      <c r="P164" s="12"/>
      <c r="Q164" s="12"/>
      <c r="R164" s="12"/>
      <c r="S164" s="12"/>
      <c r="T164" s="12"/>
      <c r="U164" s="12"/>
      <c r="V164" s="12"/>
      <c r="W164" s="40"/>
    </row>
    <row r="165" customFormat="false" ht="13.8" hidden="false" customHeight="false" outlineLevel="0" collapsed="false">
      <c r="C165" s="41"/>
      <c r="D165" s="12" t="n">
        <f aca="false">D164+1</f>
        <v>77</v>
      </c>
      <c r="E165" s="12" t="s">
        <v>350</v>
      </c>
      <c r="F165" s="40" t="n">
        <f aca="false">IF($O$16=E165, D165, 0)</f>
        <v>0</v>
      </c>
      <c r="G165" s="12"/>
      <c r="H165" s="12"/>
      <c r="I165" s="12"/>
      <c r="J165" s="12"/>
      <c r="K165" s="12"/>
      <c r="L165" s="40"/>
      <c r="M165" s="0"/>
      <c r="N165" s="41"/>
      <c r="O165" s="12" t="s">
        <v>351</v>
      </c>
      <c r="P165" s="12"/>
      <c r="Q165" s="12"/>
      <c r="R165" s="12"/>
      <c r="S165" s="12"/>
      <c r="T165" s="12"/>
      <c r="U165" s="12"/>
      <c r="V165" s="12"/>
      <c r="W165" s="40"/>
    </row>
    <row r="166" customFormat="false" ht="13.8" hidden="false" customHeight="false" outlineLevel="0" collapsed="false">
      <c r="C166" s="41"/>
      <c r="D166" s="12" t="n">
        <f aca="false">D165+1</f>
        <v>78</v>
      </c>
      <c r="E166" s="12" t="s">
        <v>352</v>
      </c>
      <c r="F166" s="40" t="n">
        <f aca="false">IF($O$16=E166, D166, 0)</f>
        <v>0</v>
      </c>
      <c r="G166" s="12"/>
      <c r="H166" s="12"/>
      <c r="I166" s="12"/>
      <c r="J166" s="12"/>
      <c r="K166" s="12"/>
      <c r="L166" s="40"/>
      <c r="M166" s="0"/>
      <c r="N166" s="41"/>
      <c r="O166" s="12" t="s">
        <v>353</v>
      </c>
      <c r="P166" s="12"/>
      <c r="Q166" s="12"/>
      <c r="R166" s="12"/>
      <c r="S166" s="12"/>
      <c r="T166" s="12"/>
      <c r="U166" s="12"/>
      <c r="V166" s="12"/>
      <c r="W166" s="40"/>
    </row>
    <row r="167" customFormat="false" ht="13.8" hidden="false" customHeight="false" outlineLevel="0" collapsed="false">
      <c r="C167" s="41"/>
      <c r="D167" s="12" t="n">
        <f aca="false">D166+1</f>
        <v>79</v>
      </c>
      <c r="E167" s="12" t="s">
        <v>354</v>
      </c>
      <c r="F167" s="40" t="n">
        <f aca="false">IF($O$16=E167, D167, 0)</f>
        <v>0</v>
      </c>
      <c r="G167" s="12"/>
      <c r="H167" s="12"/>
      <c r="I167" s="12"/>
      <c r="J167" s="12"/>
      <c r="K167" s="12"/>
      <c r="L167" s="40"/>
      <c r="M167" s="0"/>
      <c r="N167" s="41"/>
      <c r="O167" s="12" t="s">
        <v>355</v>
      </c>
      <c r="P167" s="12"/>
      <c r="Q167" s="12"/>
      <c r="R167" s="12"/>
      <c r="S167" s="12"/>
      <c r="T167" s="12"/>
      <c r="U167" s="12"/>
      <c r="V167" s="12"/>
      <c r="W167" s="40"/>
    </row>
    <row r="168" customFormat="false" ht="13.8" hidden="false" customHeight="false" outlineLevel="0" collapsed="false">
      <c r="C168" s="41"/>
      <c r="D168" s="12" t="n">
        <f aca="false">D167+1</f>
        <v>80</v>
      </c>
      <c r="E168" s="12" t="s">
        <v>356</v>
      </c>
      <c r="F168" s="40" t="n">
        <f aca="false">IF($O$16=E168, D168, 0)</f>
        <v>0</v>
      </c>
      <c r="G168" s="12"/>
      <c r="H168" s="12"/>
      <c r="I168" s="12"/>
      <c r="J168" s="12"/>
      <c r="K168" s="12"/>
      <c r="L168" s="40"/>
      <c r="M168" s="0"/>
      <c r="N168" s="41"/>
      <c r="O168" s="12" t="s">
        <v>357</v>
      </c>
      <c r="P168" s="12"/>
      <c r="Q168" s="12"/>
      <c r="R168" s="12"/>
      <c r="S168" s="12"/>
      <c r="T168" s="12"/>
      <c r="U168" s="12"/>
      <c r="V168" s="12"/>
      <c r="W168" s="40"/>
    </row>
    <row r="169" customFormat="false" ht="13.8" hidden="false" customHeight="false" outlineLevel="0" collapsed="false">
      <c r="C169" s="41"/>
      <c r="D169" s="12" t="n">
        <f aca="false">D168+1</f>
        <v>81</v>
      </c>
      <c r="E169" s="12" t="s">
        <v>358</v>
      </c>
      <c r="F169" s="40" t="n">
        <f aca="false">IF($O$16=E169, D169, 0)</f>
        <v>0</v>
      </c>
      <c r="G169" s="12"/>
      <c r="H169" s="12"/>
      <c r="I169" s="12"/>
      <c r="J169" s="12"/>
      <c r="K169" s="12"/>
      <c r="L169" s="40"/>
      <c r="M169" s="0"/>
      <c r="N169" s="41"/>
      <c r="O169" s="12"/>
      <c r="P169" s="12"/>
      <c r="Q169" s="12"/>
      <c r="R169" s="12"/>
      <c r="S169" s="12"/>
      <c r="T169" s="12"/>
      <c r="U169" s="12"/>
      <c r="V169" s="12"/>
      <c r="W169" s="40"/>
    </row>
    <row r="170" customFormat="false" ht="13.8" hidden="false" customHeight="false" outlineLevel="0" collapsed="false">
      <c r="C170" s="41"/>
      <c r="D170" s="12" t="n">
        <f aca="false">D169+1</f>
        <v>82</v>
      </c>
      <c r="E170" s="12" t="s">
        <v>359</v>
      </c>
      <c r="F170" s="40" t="n">
        <f aca="false">IF($O$16=E170, D170, 0)</f>
        <v>0</v>
      </c>
      <c r="G170" s="12"/>
      <c r="H170" s="12"/>
      <c r="I170" s="12"/>
      <c r="J170" s="12"/>
      <c r="K170" s="12"/>
      <c r="L170" s="40"/>
      <c r="M170" s="0"/>
      <c r="N170" s="41" t="s">
        <v>132</v>
      </c>
      <c r="O170" s="12"/>
      <c r="P170" s="12"/>
      <c r="Q170" s="12"/>
      <c r="R170" s="12"/>
      <c r="S170" s="12"/>
      <c r="T170" s="12"/>
      <c r="U170" s="12"/>
      <c r="V170" s="12"/>
      <c r="W170" s="40"/>
    </row>
    <row r="171" customFormat="false" ht="13.8" hidden="false" customHeight="false" outlineLevel="0" collapsed="false">
      <c r="C171" s="41"/>
      <c r="D171" s="12" t="n">
        <f aca="false">D170+1</f>
        <v>83</v>
      </c>
      <c r="E171" s="12" t="s">
        <v>360</v>
      </c>
      <c r="F171" s="40" t="n">
        <f aca="false">IF($O$16=E171, D171, 0)</f>
        <v>0</v>
      </c>
      <c r="G171" s="12"/>
      <c r="H171" s="12"/>
      <c r="I171" s="12"/>
      <c r="J171" s="12"/>
      <c r="K171" s="12"/>
      <c r="L171" s="40"/>
      <c r="M171" s="0"/>
      <c r="N171" s="41"/>
      <c r="O171" s="12" t="s">
        <v>133</v>
      </c>
      <c r="P171" s="12"/>
      <c r="Q171" s="12"/>
      <c r="R171" s="12"/>
      <c r="S171" s="12"/>
      <c r="T171" s="12"/>
      <c r="U171" s="12"/>
      <c r="V171" s="12"/>
      <c r="W171" s="40"/>
    </row>
    <row r="172" customFormat="false" ht="13.8" hidden="false" customHeight="false" outlineLevel="0" collapsed="false">
      <c r="C172" s="41"/>
      <c r="D172" s="12" t="n">
        <f aca="false">D171+1</f>
        <v>84</v>
      </c>
      <c r="E172" s="12" t="s">
        <v>361</v>
      </c>
      <c r="F172" s="40" t="n">
        <f aca="false">IF($O$16=E172, D172, 0)</f>
        <v>0</v>
      </c>
      <c r="G172" s="12"/>
      <c r="H172" s="12"/>
      <c r="I172" s="12"/>
      <c r="J172" s="12"/>
      <c r="K172" s="12"/>
      <c r="L172" s="40"/>
      <c r="M172" s="0"/>
      <c r="N172" s="41"/>
      <c r="O172" s="12" t="s">
        <v>134</v>
      </c>
      <c r="P172" s="12"/>
      <c r="Q172" s="12"/>
      <c r="R172" s="12"/>
      <c r="S172" s="12"/>
      <c r="T172" s="12"/>
      <c r="U172" s="12"/>
      <c r="V172" s="12"/>
      <c r="W172" s="40"/>
    </row>
    <row r="173" customFormat="false" ht="13.8" hidden="false" customHeight="false" outlineLevel="0" collapsed="false">
      <c r="C173" s="41"/>
      <c r="D173" s="12" t="n">
        <f aca="false">D172+1</f>
        <v>85</v>
      </c>
      <c r="E173" s="12" t="s">
        <v>362</v>
      </c>
      <c r="F173" s="40" t="n">
        <f aca="false">IF($O$16=E173, D173, 0)</f>
        <v>0</v>
      </c>
      <c r="G173" s="12"/>
      <c r="H173" s="12"/>
      <c r="I173" s="12"/>
      <c r="J173" s="12"/>
      <c r="K173" s="12"/>
      <c r="L173" s="40"/>
      <c r="M173" s="0"/>
      <c r="N173" s="41"/>
      <c r="O173" s="12"/>
      <c r="P173" s="12"/>
      <c r="Q173" s="12"/>
      <c r="R173" s="12"/>
      <c r="S173" s="12"/>
      <c r="T173" s="12"/>
      <c r="U173" s="12"/>
      <c r="V173" s="12"/>
      <c r="W173" s="40"/>
    </row>
    <row r="174" customFormat="false" ht="13.8" hidden="false" customHeight="false" outlineLevel="0" collapsed="false">
      <c r="C174" s="41"/>
      <c r="D174" s="12" t="n">
        <f aca="false">D173+1</f>
        <v>86</v>
      </c>
      <c r="E174" s="12" t="s">
        <v>363</v>
      </c>
      <c r="F174" s="40" t="n">
        <f aca="false">IF($O$16=E174, D174, 0)</f>
        <v>0</v>
      </c>
      <c r="G174" s="12"/>
      <c r="H174" s="12"/>
      <c r="I174" s="12"/>
      <c r="J174" s="12"/>
      <c r="K174" s="12"/>
      <c r="L174" s="40"/>
      <c r="M174" s="0"/>
      <c r="N174" s="41" t="s">
        <v>135</v>
      </c>
      <c r="O174" s="12"/>
      <c r="P174" s="12"/>
      <c r="Q174" s="12"/>
      <c r="R174" s="12"/>
      <c r="S174" s="12"/>
      <c r="T174" s="12"/>
      <c r="U174" s="12"/>
      <c r="V174" s="12"/>
      <c r="W174" s="40"/>
    </row>
    <row r="175" customFormat="false" ht="13.8" hidden="false" customHeight="false" outlineLevel="0" collapsed="false">
      <c r="C175" s="41"/>
      <c r="D175" s="12" t="n">
        <f aca="false">D174+1</f>
        <v>87</v>
      </c>
      <c r="E175" s="12" t="s">
        <v>364</v>
      </c>
      <c r="F175" s="40" t="n">
        <f aca="false">IF($O$16=E175, D175, 0)</f>
        <v>0</v>
      </c>
      <c r="G175" s="12"/>
      <c r="H175" s="12"/>
      <c r="I175" s="12"/>
      <c r="J175" s="12"/>
      <c r="K175" s="12"/>
      <c r="L175" s="40"/>
      <c r="M175" s="0"/>
      <c r="N175" s="41"/>
      <c r="O175" s="12" t="s">
        <v>136</v>
      </c>
      <c r="P175" s="12"/>
      <c r="Q175" s="12"/>
      <c r="R175" s="12"/>
      <c r="S175" s="12"/>
      <c r="T175" s="12"/>
      <c r="U175" s="12"/>
      <c r="V175" s="12"/>
      <c r="W175" s="40"/>
    </row>
    <row r="176" customFormat="false" ht="13.8" hidden="false" customHeight="false" outlineLevel="0" collapsed="false">
      <c r="C176" s="41"/>
      <c r="D176" s="12" t="n">
        <f aca="false">D175+1</f>
        <v>88</v>
      </c>
      <c r="E176" s="12" t="s">
        <v>365</v>
      </c>
      <c r="F176" s="40" t="n">
        <f aca="false">IF($O$16=E176, D176, 0)</f>
        <v>0</v>
      </c>
      <c r="G176" s="12"/>
      <c r="H176" s="12"/>
      <c r="I176" s="12"/>
      <c r="J176" s="12"/>
      <c r="K176" s="12"/>
      <c r="L176" s="40"/>
      <c r="M176" s="0"/>
      <c r="N176" s="41"/>
      <c r="O176" s="12" t="s">
        <v>137</v>
      </c>
      <c r="P176" s="12"/>
      <c r="Q176" s="12"/>
      <c r="R176" s="12"/>
      <c r="S176" s="12"/>
      <c r="T176" s="12"/>
      <c r="U176" s="12"/>
      <c r="V176" s="12"/>
      <c r="W176" s="40"/>
    </row>
    <row r="177" customFormat="false" ht="13.8" hidden="false" customHeight="false" outlineLevel="0" collapsed="false">
      <c r="C177" s="41"/>
      <c r="D177" s="12" t="n">
        <f aca="false">D176+1</f>
        <v>89</v>
      </c>
      <c r="E177" s="12" t="s">
        <v>366</v>
      </c>
      <c r="F177" s="40" t="n">
        <f aca="false">IF($O$16=E177, D177, 0)</f>
        <v>0</v>
      </c>
      <c r="G177" s="12"/>
      <c r="H177" s="12"/>
      <c r="I177" s="12"/>
      <c r="J177" s="12"/>
      <c r="K177" s="12"/>
      <c r="L177" s="40"/>
      <c r="M177" s="0"/>
      <c r="N177" s="41"/>
      <c r="O177" s="12" t="s">
        <v>138</v>
      </c>
      <c r="P177" s="12"/>
      <c r="Q177" s="12"/>
      <c r="R177" s="12"/>
      <c r="S177" s="12"/>
      <c r="T177" s="12"/>
      <c r="U177" s="12"/>
      <c r="V177" s="12"/>
      <c r="W177" s="40"/>
    </row>
    <row r="178" customFormat="false" ht="13.8" hidden="false" customHeight="false" outlineLevel="0" collapsed="false">
      <c r="C178" s="41"/>
      <c r="D178" s="12" t="n">
        <f aca="false">D177+1</f>
        <v>90</v>
      </c>
      <c r="E178" s="12" t="s">
        <v>367</v>
      </c>
      <c r="F178" s="40" t="n">
        <f aca="false">IF($O$16=E178, D178, 0)</f>
        <v>0</v>
      </c>
      <c r="G178" s="12"/>
      <c r="H178" s="12"/>
      <c r="I178" s="12"/>
      <c r="J178" s="12"/>
      <c r="K178" s="12"/>
      <c r="L178" s="40"/>
      <c r="M178" s="0"/>
      <c r="N178" s="41"/>
      <c r="O178" s="12" t="s">
        <v>139</v>
      </c>
      <c r="P178" s="12"/>
      <c r="Q178" s="12"/>
      <c r="R178" s="12"/>
      <c r="S178" s="12"/>
      <c r="T178" s="12"/>
      <c r="U178" s="12"/>
      <c r="V178" s="12"/>
      <c r="W178" s="40"/>
    </row>
    <row r="179" customFormat="false" ht="13.8" hidden="false" customHeight="false" outlineLevel="0" collapsed="false">
      <c r="C179" s="41"/>
      <c r="D179" s="12" t="n">
        <f aca="false">D178+1</f>
        <v>91</v>
      </c>
      <c r="E179" s="12" t="s">
        <v>368</v>
      </c>
      <c r="F179" s="40" t="n">
        <f aca="false">IF($O$16=E179, D179, 0)</f>
        <v>0</v>
      </c>
      <c r="G179" s="12"/>
      <c r="H179" s="12"/>
      <c r="I179" s="12"/>
      <c r="J179" s="12"/>
      <c r="K179" s="12"/>
      <c r="L179" s="40"/>
      <c r="M179" s="0"/>
      <c r="N179" s="41"/>
      <c r="O179" s="12" t="s">
        <v>140</v>
      </c>
      <c r="P179" s="12"/>
      <c r="Q179" s="12"/>
      <c r="R179" s="12"/>
      <c r="S179" s="12"/>
      <c r="T179" s="12"/>
      <c r="U179" s="12"/>
      <c r="V179" s="12"/>
      <c r="W179" s="40"/>
    </row>
    <row r="180" customFormat="false" ht="13.8" hidden="false" customHeight="false" outlineLevel="0" collapsed="false">
      <c r="C180" s="41"/>
      <c r="D180" s="12" t="n">
        <f aca="false">D179+1</f>
        <v>92</v>
      </c>
      <c r="E180" s="12" t="s">
        <v>369</v>
      </c>
      <c r="F180" s="40" t="n">
        <f aca="false">IF($O$16=E180, D180, 0)</f>
        <v>0</v>
      </c>
      <c r="G180" s="12"/>
      <c r="H180" s="12"/>
      <c r="I180" s="12"/>
      <c r="J180" s="12"/>
      <c r="K180" s="12"/>
      <c r="L180" s="40"/>
      <c r="M180" s="0"/>
      <c r="N180" s="41"/>
      <c r="O180" s="12" t="s">
        <v>141</v>
      </c>
      <c r="P180" s="12"/>
      <c r="Q180" s="12"/>
      <c r="R180" s="12"/>
      <c r="S180" s="12"/>
      <c r="T180" s="12"/>
      <c r="U180" s="12"/>
      <c r="V180" s="12"/>
      <c r="W180" s="40"/>
    </row>
    <row r="181" customFormat="false" ht="13.8" hidden="false" customHeight="false" outlineLevel="0" collapsed="false">
      <c r="C181" s="41"/>
      <c r="D181" s="12" t="n">
        <f aca="false">D180+1</f>
        <v>93</v>
      </c>
      <c r="E181" s="12" t="s">
        <v>370</v>
      </c>
      <c r="F181" s="40" t="n">
        <f aca="false">IF($O$16=E181, D181, 0)</f>
        <v>0</v>
      </c>
      <c r="G181" s="12"/>
      <c r="H181" s="12"/>
      <c r="I181" s="12"/>
      <c r="J181" s="12"/>
      <c r="K181" s="12"/>
      <c r="L181" s="40"/>
      <c r="M181" s="0"/>
      <c r="N181" s="41"/>
      <c r="O181" s="12" t="s">
        <v>142</v>
      </c>
      <c r="P181" s="12"/>
      <c r="Q181" s="12"/>
      <c r="R181" s="12"/>
      <c r="S181" s="12"/>
      <c r="T181" s="12"/>
      <c r="U181" s="12"/>
      <c r="V181" s="12"/>
      <c r="W181" s="40"/>
    </row>
    <row r="182" customFormat="false" ht="13.8" hidden="false" customHeight="false" outlineLevel="0" collapsed="false">
      <c r="C182" s="41"/>
      <c r="D182" s="12" t="n">
        <f aca="false">D181+1</f>
        <v>94</v>
      </c>
      <c r="E182" s="12" t="s">
        <v>371</v>
      </c>
      <c r="F182" s="40" t="n">
        <f aca="false">IF($O$16=E182, D182, 0)</f>
        <v>0</v>
      </c>
      <c r="G182" s="12"/>
      <c r="H182" s="12"/>
      <c r="I182" s="12"/>
      <c r="J182" s="12"/>
      <c r="K182" s="12"/>
      <c r="L182" s="40"/>
      <c r="M182" s="0"/>
      <c r="N182" s="41"/>
      <c r="O182" s="12" t="s">
        <v>143</v>
      </c>
      <c r="P182" s="12"/>
      <c r="Q182" s="12"/>
      <c r="R182" s="12"/>
      <c r="S182" s="12"/>
      <c r="T182" s="12"/>
      <c r="U182" s="12"/>
      <c r="V182" s="12"/>
      <c r="W182" s="40"/>
    </row>
    <row r="183" customFormat="false" ht="13.8" hidden="false" customHeight="false" outlineLevel="0" collapsed="false">
      <c r="C183" s="41"/>
      <c r="D183" s="12" t="n">
        <f aca="false">D182+1</f>
        <v>95</v>
      </c>
      <c r="E183" s="12" t="s">
        <v>372</v>
      </c>
      <c r="F183" s="40" t="n">
        <f aca="false">IF($O$16=E183, D183, 0)</f>
        <v>0</v>
      </c>
      <c r="G183" s="12"/>
      <c r="H183" s="12"/>
      <c r="I183" s="12"/>
      <c r="J183" s="12"/>
      <c r="K183" s="12"/>
      <c r="L183" s="40"/>
      <c r="M183" s="0"/>
      <c r="N183" s="41"/>
      <c r="O183" s="12"/>
      <c r="P183" s="12"/>
      <c r="Q183" s="12"/>
      <c r="R183" s="12"/>
      <c r="S183" s="12"/>
      <c r="T183" s="12"/>
      <c r="U183" s="12"/>
      <c r="V183" s="12"/>
      <c r="W183" s="40"/>
    </row>
    <row r="184" customFormat="false" ht="13.8" hidden="false" customHeight="false" outlineLevel="0" collapsed="false">
      <c r="C184" s="41"/>
      <c r="D184" s="12" t="n">
        <f aca="false">D183+1</f>
        <v>96</v>
      </c>
      <c r="E184" s="12" t="s">
        <v>373</v>
      </c>
      <c r="F184" s="40" t="n">
        <f aca="false">IF($O$16=E184, D184, 0)</f>
        <v>0</v>
      </c>
      <c r="G184" s="12"/>
      <c r="H184" s="12"/>
      <c r="I184" s="12"/>
      <c r="J184" s="12"/>
      <c r="K184" s="12"/>
      <c r="L184" s="40"/>
      <c r="M184" s="0"/>
      <c r="N184" s="41" t="s">
        <v>144</v>
      </c>
      <c r="O184" s="12"/>
      <c r="P184" s="12"/>
      <c r="Q184" s="12"/>
      <c r="R184" s="12"/>
      <c r="S184" s="12"/>
      <c r="T184" s="12"/>
      <c r="U184" s="12"/>
      <c r="V184" s="12"/>
      <c r="W184" s="40"/>
    </row>
    <row r="185" customFormat="false" ht="13.8" hidden="false" customHeight="false" outlineLevel="0" collapsed="false">
      <c r="C185" s="41"/>
      <c r="D185" s="12" t="n">
        <f aca="false">D184+1</f>
        <v>97</v>
      </c>
      <c r="E185" s="12" t="s">
        <v>374</v>
      </c>
      <c r="F185" s="40" t="n">
        <f aca="false">IF($O$16=E185, D185, 0)</f>
        <v>0</v>
      </c>
      <c r="G185" s="12"/>
      <c r="H185" s="12"/>
      <c r="I185" s="12"/>
      <c r="J185" s="12"/>
      <c r="K185" s="12"/>
      <c r="L185" s="40"/>
      <c r="M185" s="0"/>
      <c r="N185" s="41"/>
      <c r="O185" s="12" t="n">
        <v>1</v>
      </c>
      <c r="P185" s="12"/>
      <c r="Q185" s="12"/>
      <c r="R185" s="12"/>
      <c r="S185" s="12"/>
      <c r="T185" s="12"/>
      <c r="U185" s="12"/>
      <c r="V185" s="12"/>
      <c r="W185" s="40"/>
    </row>
    <row r="186" customFormat="false" ht="13.8" hidden="false" customHeight="false" outlineLevel="0" collapsed="false">
      <c r="C186" s="41"/>
      <c r="D186" s="12" t="n">
        <f aca="false">D185+1</f>
        <v>98</v>
      </c>
      <c r="E186" s="12" t="s">
        <v>375</v>
      </c>
      <c r="F186" s="40" t="n">
        <f aca="false">IF($O$16=E186, D186, 0)</f>
        <v>0</v>
      </c>
      <c r="G186" s="12"/>
      <c r="H186" s="12"/>
      <c r="I186" s="12"/>
      <c r="J186" s="12"/>
      <c r="K186" s="12"/>
      <c r="L186" s="40"/>
      <c r="M186" s="0"/>
      <c r="N186" s="41"/>
      <c r="O186" s="12" t="n">
        <v>2</v>
      </c>
      <c r="P186" s="12"/>
      <c r="Q186" s="12"/>
      <c r="R186" s="12"/>
      <c r="S186" s="12"/>
      <c r="T186" s="12"/>
      <c r="U186" s="12"/>
      <c r="V186" s="12"/>
      <c r="W186" s="40"/>
    </row>
    <row r="187" customFormat="false" ht="13.8" hidden="false" customHeight="false" outlineLevel="0" collapsed="false">
      <c r="C187" s="41"/>
      <c r="D187" s="12" t="n">
        <f aca="false">D186+1</f>
        <v>99</v>
      </c>
      <c r="E187" s="12" t="s">
        <v>376</v>
      </c>
      <c r="F187" s="40" t="n">
        <f aca="false">IF($O$16=E187, D187, 0)</f>
        <v>0</v>
      </c>
      <c r="G187" s="12"/>
      <c r="H187" s="12"/>
      <c r="I187" s="12"/>
      <c r="J187" s="12"/>
      <c r="K187" s="12"/>
      <c r="L187" s="40"/>
      <c r="M187" s="0"/>
      <c r="N187" s="41"/>
      <c r="O187" s="14" t="s">
        <v>110</v>
      </c>
      <c r="P187" s="12"/>
      <c r="Q187" s="12"/>
      <c r="R187" s="12"/>
      <c r="S187" s="12"/>
      <c r="T187" s="12"/>
      <c r="U187" s="12"/>
      <c r="V187" s="12"/>
      <c r="W187" s="40"/>
    </row>
    <row r="188" customFormat="false" ht="13.8" hidden="false" customHeight="false" outlineLevel="0" collapsed="false">
      <c r="C188" s="41"/>
      <c r="D188" s="12" t="n">
        <f aca="false">D187+1</f>
        <v>100</v>
      </c>
      <c r="E188" s="12" t="s">
        <v>377</v>
      </c>
      <c r="F188" s="40" t="n">
        <f aca="false">IF($O$16=E188, D188, 0)</f>
        <v>0</v>
      </c>
      <c r="G188" s="12"/>
      <c r="H188" s="12"/>
      <c r="I188" s="12"/>
      <c r="J188" s="12"/>
      <c r="K188" s="12"/>
      <c r="L188" s="40"/>
      <c r="M188" s="0"/>
      <c r="N188" s="41"/>
      <c r="O188" s="12" t="n">
        <v>128</v>
      </c>
      <c r="P188" s="12"/>
      <c r="Q188" s="12"/>
      <c r="R188" s="12"/>
      <c r="S188" s="12"/>
      <c r="T188" s="12"/>
      <c r="U188" s="12"/>
      <c r="V188" s="12"/>
      <c r="W188" s="40"/>
    </row>
    <row r="189" customFormat="false" ht="13.8" hidden="false" customHeight="false" outlineLevel="0" collapsed="false">
      <c r="C189" s="41"/>
      <c r="D189" s="12" t="n">
        <f aca="false">D188+1</f>
        <v>101</v>
      </c>
      <c r="E189" s="12" t="s">
        <v>378</v>
      </c>
      <c r="F189" s="40" t="n">
        <f aca="false">IF($O$16=E189, D189, 0)</f>
        <v>0</v>
      </c>
      <c r="G189" s="12"/>
      <c r="H189" s="12"/>
      <c r="I189" s="12"/>
      <c r="J189" s="12"/>
      <c r="K189" s="12"/>
      <c r="L189" s="40"/>
      <c r="M189" s="0"/>
      <c r="N189" s="41"/>
      <c r="O189" s="12"/>
      <c r="P189" s="12"/>
      <c r="Q189" s="12"/>
      <c r="R189" s="12"/>
      <c r="S189" s="12"/>
      <c r="T189" s="12"/>
      <c r="U189" s="12"/>
      <c r="V189" s="12"/>
      <c r="W189" s="40"/>
    </row>
    <row r="190" customFormat="false" ht="13.8" hidden="false" customHeight="false" outlineLevel="0" collapsed="false">
      <c r="C190" s="41"/>
      <c r="D190" s="12" t="n">
        <f aca="false">D189+1</f>
        <v>102</v>
      </c>
      <c r="E190" s="12" t="s">
        <v>379</v>
      </c>
      <c r="F190" s="40" t="n">
        <f aca="false">IF($O$16=E190, D190, 0)</f>
        <v>0</v>
      </c>
      <c r="G190" s="12"/>
      <c r="H190" s="12"/>
      <c r="I190" s="12"/>
      <c r="J190" s="12"/>
      <c r="K190" s="12"/>
      <c r="L190" s="40"/>
      <c r="M190" s="0"/>
      <c r="N190" s="41" t="s">
        <v>145</v>
      </c>
      <c r="O190" s="12"/>
      <c r="P190" s="12"/>
      <c r="Q190" s="12"/>
      <c r="R190" s="12"/>
      <c r="S190" s="12"/>
      <c r="T190" s="12"/>
      <c r="U190" s="12"/>
      <c r="V190" s="12"/>
      <c r="W190" s="40"/>
    </row>
    <row r="191" customFormat="false" ht="13.8" hidden="false" customHeight="false" outlineLevel="0" collapsed="false">
      <c r="C191" s="41"/>
      <c r="D191" s="12" t="n">
        <f aca="false">D190+1</f>
        <v>103</v>
      </c>
      <c r="E191" s="12" t="s">
        <v>380</v>
      </c>
      <c r="F191" s="40" t="n">
        <f aca="false">IF($O$16=E191, D191, 0)</f>
        <v>0</v>
      </c>
      <c r="G191" s="12"/>
      <c r="H191" s="12"/>
      <c r="I191" s="12"/>
      <c r="J191" s="12"/>
      <c r="K191" s="12"/>
      <c r="L191" s="40"/>
      <c r="M191" s="0"/>
      <c r="N191" s="41"/>
      <c r="O191" s="12" t="s">
        <v>146</v>
      </c>
      <c r="P191" s="12"/>
      <c r="Q191" s="12"/>
      <c r="R191" s="12"/>
      <c r="S191" s="12"/>
      <c r="T191" s="12"/>
      <c r="U191" s="12"/>
      <c r="V191" s="12"/>
      <c r="W191" s="40"/>
    </row>
    <row r="192" customFormat="false" ht="13.8" hidden="false" customHeight="false" outlineLevel="0" collapsed="false">
      <c r="C192" s="41"/>
      <c r="D192" s="12" t="n">
        <f aca="false">D191+1</f>
        <v>104</v>
      </c>
      <c r="E192" s="12" t="s">
        <v>381</v>
      </c>
      <c r="F192" s="40" t="n">
        <f aca="false">IF($O$16=E192, D192, 0)</f>
        <v>0</v>
      </c>
      <c r="G192" s="12"/>
      <c r="H192" s="12"/>
      <c r="I192" s="12"/>
      <c r="J192" s="12"/>
      <c r="K192" s="12"/>
      <c r="L192" s="40"/>
      <c r="M192" s="0"/>
      <c r="N192" s="41"/>
      <c r="O192" s="12" t="s">
        <v>147</v>
      </c>
      <c r="P192" s="12"/>
      <c r="Q192" s="12"/>
      <c r="R192" s="12"/>
      <c r="S192" s="12"/>
      <c r="T192" s="12"/>
      <c r="U192" s="12"/>
      <c r="V192" s="12"/>
      <c r="W192" s="40"/>
    </row>
    <row r="193" customFormat="false" ht="13.8" hidden="false" customHeight="false" outlineLevel="0" collapsed="false">
      <c r="C193" s="41"/>
      <c r="D193" s="12" t="n">
        <f aca="false">D192+1</f>
        <v>105</v>
      </c>
      <c r="E193" s="12" t="s">
        <v>382</v>
      </c>
      <c r="F193" s="40" t="n">
        <f aca="false">IF($O$16=E193, D193, 0)</f>
        <v>0</v>
      </c>
      <c r="G193" s="12"/>
      <c r="H193" s="12"/>
      <c r="I193" s="12"/>
      <c r="J193" s="12"/>
      <c r="K193" s="12"/>
      <c r="L193" s="40"/>
      <c r="M193" s="0"/>
      <c r="N193" s="41"/>
      <c r="O193" s="12" t="s">
        <v>148</v>
      </c>
      <c r="P193" s="12"/>
      <c r="Q193" s="12"/>
      <c r="R193" s="12"/>
      <c r="S193" s="12"/>
      <c r="T193" s="12"/>
      <c r="U193" s="12"/>
      <c r="V193" s="12"/>
      <c r="W193" s="40"/>
    </row>
    <row r="194" customFormat="false" ht="13.8" hidden="false" customHeight="false" outlineLevel="0" collapsed="false">
      <c r="C194" s="41"/>
      <c r="D194" s="12" t="n">
        <f aca="false">D193+1</f>
        <v>106</v>
      </c>
      <c r="E194" s="12" t="s">
        <v>383</v>
      </c>
      <c r="F194" s="40" t="n">
        <f aca="false">IF($O$16=E194, D194, 0)</f>
        <v>0</v>
      </c>
      <c r="G194" s="12"/>
      <c r="H194" s="12"/>
      <c r="I194" s="12"/>
      <c r="J194" s="12"/>
      <c r="K194" s="12"/>
      <c r="L194" s="40"/>
      <c r="M194" s="0"/>
      <c r="N194" s="41"/>
      <c r="O194" s="12" t="s">
        <v>149</v>
      </c>
      <c r="P194" s="12"/>
      <c r="Q194" s="12"/>
      <c r="R194" s="12"/>
      <c r="S194" s="12"/>
      <c r="T194" s="12"/>
      <c r="U194" s="12"/>
      <c r="V194" s="12"/>
      <c r="W194" s="40"/>
    </row>
    <row r="195" customFormat="false" ht="13.8" hidden="false" customHeight="false" outlineLevel="0" collapsed="false">
      <c r="C195" s="41"/>
      <c r="D195" s="12" t="n">
        <f aca="false">D194+1</f>
        <v>107</v>
      </c>
      <c r="E195" s="12" t="s">
        <v>384</v>
      </c>
      <c r="F195" s="40" t="n">
        <f aca="false">IF($O$16=E195, D195, 0)</f>
        <v>0</v>
      </c>
      <c r="G195" s="12"/>
      <c r="H195" s="12"/>
      <c r="I195" s="12"/>
      <c r="J195" s="12"/>
      <c r="K195" s="12"/>
      <c r="L195" s="40"/>
      <c r="M195" s="0"/>
      <c r="N195" s="41"/>
      <c r="O195" s="12" t="s">
        <v>150</v>
      </c>
      <c r="P195" s="12"/>
      <c r="Q195" s="12"/>
      <c r="R195" s="12"/>
      <c r="S195" s="12"/>
      <c r="T195" s="12"/>
      <c r="U195" s="12"/>
      <c r="V195" s="12"/>
      <c r="W195" s="40"/>
    </row>
    <row r="196" customFormat="false" ht="13.8" hidden="false" customHeight="false" outlineLevel="0" collapsed="false">
      <c r="C196" s="41"/>
      <c r="D196" s="12" t="n">
        <f aca="false">D195+1</f>
        <v>108</v>
      </c>
      <c r="E196" s="12" t="s">
        <v>385</v>
      </c>
      <c r="F196" s="40" t="n">
        <f aca="false">IF($O$16=E196, D196, 0)</f>
        <v>0</v>
      </c>
      <c r="G196" s="12"/>
      <c r="H196" s="12"/>
      <c r="I196" s="12"/>
      <c r="J196" s="12"/>
      <c r="K196" s="12"/>
      <c r="L196" s="40"/>
      <c r="M196" s="0"/>
      <c r="N196" s="41"/>
      <c r="O196" s="12" t="s">
        <v>151</v>
      </c>
      <c r="P196" s="12"/>
      <c r="Q196" s="12"/>
      <c r="R196" s="12"/>
      <c r="S196" s="12"/>
      <c r="T196" s="12"/>
      <c r="U196" s="12"/>
      <c r="V196" s="12"/>
      <c r="W196" s="40"/>
    </row>
    <row r="197" customFormat="false" ht="13.8" hidden="false" customHeight="false" outlineLevel="0" collapsed="false">
      <c r="C197" s="41"/>
      <c r="D197" s="12" t="n">
        <f aca="false">D196+1</f>
        <v>109</v>
      </c>
      <c r="E197" s="12" t="s">
        <v>386</v>
      </c>
      <c r="F197" s="40" t="n">
        <f aca="false">IF($O$16=E197, D197, 0)</f>
        <v>0</v>
      </c>
      <c r="G197" s="12"/>
      <c r="H197" s="12"/>
      <c r="I197" s="12"/>
      <c r="J197" s="12"/>
      <c r="K197" s="12"/>
      <c r="L197" s="40"/>
      <c r="M197" s="0"/>
      <c r="N197" s="41"/>
      <c r="O197" s="12" t="s">
        <v>152</v>
      </c>
      <c r="P197" s="12"/>
      <c r="Q197" s="12"/>
      <c r="R197" s="12"/>
      <c r="S197" s="12"/>
      <c r="T197" s="12"/>
      <c r="U197" s="12"/>
      <c r="V197" s="12"/>
      <c r="W197" s="40"/>
    </row>
    <row r="198" customFormat="false" ht="13.8" hidden="false" customHeight="false" outlineLevel="0" collapsed="false">
      <c r="C198" s="41"/>
      <c r="D198" s="12" t="n">
        <f aca="false">D197+1</f>
        <v>110</v>
      </c>
      <c r="E198" s="12" t="s">
        <v>387</v>
      </c>
      <c r="F198" s="40" t="n">
        <f aca="false">IF($O$16=E198, D198, 0)</f>
        <v>0</v>
      </c>
      <c r="G198" s="12"/>
      <c r="H198" s="12"/>
      <c r="I198" s="12"/>
      <c r="J198" s="12"/>
      <c r="K198" s="12"/>
      <c r="L198" s="40"/>
      <c r="M198" s="0"/>
      <c r="N198" s="41"/>
      <c r="O198" s="12" t="s">
        <v>153</v>
      </c>
      <c r="P198" s="12"/>
      <c r="Q198" s="12"/>
      <c r="R198" s="12"/>
      <c r="S198" s="12"/>
      <c r="T198" s="12"/>
      <c r="U198" s="12"/>
      <c r="V198" s="12"/>
      <c r="W198" s="40"/>
    </row>
    <row r="199" customFormat="false" ht="13.8" hidden="false" customHeight="false" outlineLevel="0" collapsed="false">
      <c r="C199" s="41"/>
      <c r="D199" s="12" t="n">
        <f aca="false">D198+1</f>
        <v>111</v>
      </c>
      <c r="E199" s="12" t="s">
        <v>388</v>
      </c>
      <c r="F199" s="40" t="n">
        <f aca="false">IF($O$16=E199, D199, 0)</f>
        <v>0</v>
      </c>
      <c r="G199" s="12"/>
      <c r="H199" s="12"/>
      <c r="I199" s="12"/>
      <c r="J199" s="12"/>
      <c r="K199" s="12"/>
      <c r="L199" s="40"/>
      <c r="M199" s="0"/>
      <c r="N199" s="41"/>
      <c r="O199" s="12"/>
      <c r="P199" s="12"/>
      <c r="Q199" s="12"/>
      <c r="R199" s="12"/>
      <c r="S199" s="12"/>
      <c r="T199" s="12"/>
      <c r="U199" s="12"/>
      <c r="V199" s="12"/>
      <c r="W199" s="40"/>
    </row>
    <row r="200" customFormat="false" ht="13.8" hidden="false" customHeight="false" outlineLevel="0" collapsed="false">
      <c r="C200" s="41"/>
      <c r="D200" s="12" t="n">
        <f aca="false">D199+1</f>
        <v>112</v>
      </c>
      <c r="E200" s="12" t="s">
        <v>389</v>
      </c>
      <c r="F200" s="40" t="n">
        <f aca="false">IF($O$16=E200, D200, 0)</f>
        <v>0</v>
      </c>
      <c r="G200" s="12"/>
      <c r="H200" s="12"/>
      <c r="I200" s="12"/>
      <c r="J200" s="12"/>
      <c r="K200" s="12"/>
      <c r="L200" s="40"/>
      <c r="M200" s="0"/>
      <c r="N200" s="41" t="s">
        <v>154</v>
      </c>
      <c r="O200" s="12"/>
      <c r="P200" s="12"/>
      <c r="Q200" s="12"/>
      <c r="R200" s="12"/>
      <c r="S200" s="12"/>
      <c r="T200" s="12"/>
      <c r="U200" s="12"/>
      <c r="V200" s="12"/>
      <c r="W200" s="40"/>
    </row>
    <row r="201" customFormat="false" ht="13.8" hidden="false" customHeight="false" outlineLevel="0" collapsed="false">
      <c r="C201" s="41"/>
      <c r="D201" s="12" t="n">
        <f aca="false">D200+1</f>
        <v>113</v>
      </c>
      <c r="E201" s="12" t="s">
        <v>390</v>
      </c>
      <c r="F201" s="40" t="n">
        <f aca="false">IF($O$16=E201, D201, 0)</f>
        <v>0</v>
      </c>
      <c r="G201" s="12"/>
      <c r="H201" s="12"/>
      <c r="I201" s="12"/>
      <c r="J201" s="12"/>
      <c r="K201" s="12"/>
      <c r="L201" s="40"/>
      <c r="M201" s="0"/>
      <c r="N201" s="41"/>
      <c r="O201" s="12" t="s">
        <v>155</v>
      </c>
      <c r="P201" s="12"/>
      <c r="Q201" s="12"/>
      <c r="R201" s="12"/>
      <c r="S201" s="12"/>
      <c r="T201" s="12" t="n">
        <f aca="false">$M$40</f>
        <v>4</v>
      </c>
      <c r="U201" s="12" t="n">
        <f aca="false">IF($O$79=O201, T201, 0)</f>
        <v>0</v>
      </c>
      <c r="V201" s="12"/>
      <c r="W201" s="40"/>
    </row>
    <row r="202" customFormat="false" ht="13.8" hidden="false" customHeight="false" outlineLevel="0" collapsed="false">
      <c r="C202" s="41"/>
      <c r="D202" s="12" t="n">
        <f aca="false">D201+1</f>
        <v>114</v>
      </c>
      <c r="E202" s="12" t="s">
        <v>391</v>
      </c>
      <c r="F202" s="40" t="n">
        <f aca="false">IF($O$16=E202, D202, 0)</f>
        <v>0</v>
      </c>
      <c r="G202" s="12"/>
      <c r="H202" s="12"/>
      <c r="I202" s="12"/>
      <c r="J202" s="12"/>
      <c r="K202" s="12"/>
      <c r="L202" s="40"/>
      <c r="M202" s="0"/>
      <c r="N202" s="41"/>
      <c r="O202" s="12" t="s">
        <v>54</v>
      </c>
      <c r="P202" s="12"/>
      <c r="Q202" s="12"/>
      <c r="R202" s="12"/>
      <c r="S202" s="12"/>
      <c r="T202" s="12" t="n">
        <f aca="false">$M$42</f>
        <v>200</v>
      </c>
      <c r="U202" s="12" t="n">
        <f aca="false">IF($O$79=O202, T202, 0)</f>
        <v>200</v>
      </c>
      <c r="V202" s="12"/>
      <c r="W202" s="40"/>
    </row>
    <row r="203" customFormat="false" ht="13.8" hidden="false" customHeight="false" outlineLevel="0" collapsed="false">
      <c r="C203" s="41"/>
      <c r="D203" s="12" t="n">
        <f aca="false">D202+1</f>
        <v>115</v>
      </c>
      <c r="E203" s="12" t="s">
        <v>392</v>
      </c>
      <c r="F203" s="40" t="n">
        <f aca="false">IF($O$16=E203, D203, 0)</f>
        <v>0</v>
      </c>
      <c r="G203" s="12"/>
      <c r="H203" s="12"/>
      <c r="I203" s="12"/>
      <c r="J203" s="12"/>
      <c r="K203" s="12"/>
      <c r="L203" s="40"/>
      <c r="M203" s="0"/>
      <c r="N203" s="41"/>
      <c r="O203" s="12" t="s">
        <v>156</v>
      </c>
      <c r="P203" s="12"/>
      <c r="Q203" s="12"/>
      <c r="R203" s="12"/>
      <c r="S203" s="12"/>
      <c r="T203" s="12" t="n">
        <f aca="false">$M$44</f>
        <v>12</v>
      </c>
      <c r="U203" s="12" t="n">
        <f aca="false">IF($O$79=O203, T203, 0)</f>
        <v>0</v>
      </c>
      <c r="V203" s="12"/>
      <c r="W203" s="40"/>
    </row>
    <row r="204" customFormat="false" ht="13.8" hidden="false" customHeight="false" outlineLevel="0" collapsed="false">
      <c r="C204" s="41"/>
      <c r="D204" s="12" t="n">
        <f aca="false">D203+1</f>
        <v>116</v>
      </c>
      <c r="E204" s="12" t="s">
        <v>393</v>
      </c>
      <c r="F204" s="40" t="n">
        <f aca="false">IF($O$16=E204, D204, 0)</f>
        <v>0</v>
      </c>
      <c r="G204" s="12"/>
      <c r="H204" s="12"/>
      <c r="I204" s="12"/>
      <c r="J204" s="12"/>
      <c r="K204" s="12"/>
      <c r="L204" s="40"/>
      <c r="M204" s="0"/>
      <c r="N204" s="41"/>
      <c r="O204" s="12" t="s">
        <v>394</v>
      </c>
      <c r="P204" s="12"/>
      <c r="Q204" s="12"/>
      <c r="R204" s="12"/>
      <c r="S204" s="12"/>
      <c r="T204" s="12" t="n">
        <f aca="false">$M$46</f>
        <v>8</v>
      </c>
      <c r="U204" s="12" t="n">
        <f aca="false">IF($O$79=O204, T204, 0)</f>
        <v>0</v>
      </c>
      <c r="V204" s="12"/>
      <c r="W204" s="40"/>
    </row>
    <row r="205" customFormat="false" ht="13.8" hidden="false" customHeight="false" outlineLevel="0" collapsed="false">
      <c r="C205" s="41"/>
      <c r="D205" s="12" t="n">
        <f aca="false">D204+1</f>
        <v>117</v>
      </c>
      <c r="E205" s="12" t="s">
        <v>395</v>
      </c>
      <c r="F205" s="40" t="n">
        <f aca="false">IF($O$16=E205, D205, 0)</f>
        <v>0</v>
      </c>
      <c r="G205" s="12"/>
      <c r="H205" s="12"/>
      <c r="I205" s="12"/>
      <c r="J205" s="12"/>
      <c r="K205" s="12"/>
      <c r="L205" s="40"/>
      <c r="M205" s="0"/>
      <c r="N205" s="41"/>
      <c r="O205" s="12" t="s">
        <v>158</v>
      </c>
      <c r="P205" s="12"/>
      <c r="Q205" s="12"/>
      <c r="R205" s="12"/>
      <c r="S205" s="12"/>
      <c r="T205" s="12" t="n">
        <f aca="false">$M$48 * 0.001</f>
        <v>0.032</v>
      </c>
      <c r="U205" s="12" t="n">
        <f aca="false">IF($O$79=O205, T205, 0)</f>
        <v>0</v>
      </c>
      <c r="V205" s="12"/>
      <c r="W205" s="40"/>
    </row>
    <row r="206" customFormat="false" ht="13.8" hidden="false" customHeight="false" outlineLevel="0" collapsed="false">
      <c r="C206" s="41"/>
      <c r="D206" s="12" t="n">
        <f aca="false">D205+1</f>
        <v>118</v>
      </c>
      <c r="E206" s="12" t="s">
        <v>396</v>
      </c>
      <c r="F206" s="40" t="n">
        <f aca="false">IF($O$16=E206, D206, 0)</f>
        <v>0</v>
      </c>
      <c r="G206" s="12"/>
      <c r="H206" s="12"/>
      <c r="I206" s="12"/>
      <c r="J206" s="12"/>
      <c r="K206" s="12"/>
      <c r="L206" s="40"/>
      <c r="M206" s="0"/>
      <c r="N206" s="41"/>
      <c r="O206" s="12" t="s">
        <v>159</v>
      </c>
      <c r="P206" s="12"/>
      <c r="Q206" s="12"/>
      <c r="R206" s="12"/>
      <c r="S206" s="12"/>
      <c r="T206" s="46" t="n">
        <f aca="false">$M$50 * 0.001</f>
        <v>0.032768</v>
      </c>
      <c r="U206" s="12" t="n">
        <f aca="false">IF($O$79=O206, T206, 0)</f>
        <v>0</v>
      </c>
      <c r="V206" s="12"/>
      <c r="W206" s="40"/>
    </row>
    <row r="207" customFormat="false" ht="13.8" hidden="false" customHeight="false" outlineLevel="0" collapsed="false">
      <c r="C207" s="41"/>
      <c r="D207" s="12" t="n">
        <f aca="false">D206+1</f>
        <v>119</v>
      </c>
      <c r="E207" s="12" t="s">
        <v>397</v>
      </c>
      <c r="F207" s="40" t="n">
        <f aca="false">IF($O$16=E207, D207, 0)</f>
        <v>0</v>
      </c>
      <c r="G207" s="12"/>
      <c r="H207" s="12"/>
      <c r="I207" s="12"/>
      <c r="J207" s="12"/>
      <c r="K207" s="12"/>
      <c r="L207" s="40"/>
      <c r="M207" s="0"/>
      <c r="N207" s="41"/>
      <c r="O207" s="12" t="s">
        <v>160</v>
      </c>
      <c r="P207" s="12"/>
      <c r="Q207" s="12"/>
      <c r="R207" s="12"/>
      <c r="S207" s="12"/>
      <c r="T207" s="12" t="n">
        <f aca="false">M71</f>
        <v>100</v>
      </c>
      <c r="U207" s="12" t="n">
        <f aca="false">IF($O$79=O207, T207, 0)</f>
        <v>0</v>
      </c>
      <c r="V207" s="12"/>
      <c r="W207" s="40"/>
    </row>
    <row r="208" customFormat="false" ht="13.8" hidden="false" customHeight="false" outlineLevel="0" collapsed="false">
      <c r="C208" s="41"/>
      <c r="D208" s="12" t="n">
        <f aca="false">D207+1</f>
        <v>120</v>
      </c>
      <c r="E208" s="12" t="s">
        <v>398</v>
      </c>
      <c r="F208" s="40" t="n">
        <f aca="false">IF($O$16=E208, D208, 0)</f>
        <v>0</v>
      </c>
      <c r="G208" s="12"/>
      <c r="H208" s="12"/>
      <c r="I208" s="12"/>
      <c r="J208" s="12"/>
      <c r="K208" s="12"/>
      <c r="L208" s="40"/>
      <c r="M208" s="0"/>
      <c r="N208" s="41"/>
      <c r="O208" s="12" t="s">
        <v>161</v>
      </c>
      <c r="P208" s="12"/>
      <c r="Q208" s="12"/>
      <c r="R208" s="12"/>
      <c r="S208" s="12"/>
      <c r="T208" s="12" t="n">
        <f aca="false">M73</f>
        <v>200</v>
      </c>
      <c r="U208" s="12" t="n">
        <f aca="false">IF($O$79=O208, T208, 0)</f>
        <v>0</v>
      </c>
      <c r="V208" s="12"/>
      <c r="W208" s="40"/>
    </row>
    <row r="209" customFormat="false" ht="13.8" hidden="false" customHeight="false" outlineLevel="0" collapsed="false">
      <c r="C209" s="41"/>
      <c r="D209" s="12" t="n">
        <f aca="false">D208+1</f>
        <v>121</v>
      </c>
      <c r="E209" s="12" t="s">
        <v>399</v>
      </c>
      <c r="F209" s="40" t="n">
        <f aca="false">IF($O$16=E209, D209, 0)</f>
        <v>0</v>
      </c>
      <c r="G209" s="12"/>
      <c r="H209" s="12"/>
      <c r="I209" s="12"/>
      <c r="J209" s="12"/>
      <c r="K209" s="12"/>
      <c r="L209" s="40"/>
      <c r="M209" s="0"/>
      <c r="N209" s="41"/>
      <c r="O209" s="12" t="s">
        <v>162</v>
      </c>
      <c r="P209" s="12"/>
      <c r="Q209" s="12"/>
      <c r="R209" s="12"/>
      <c r="S209" s="12"/>
      <c r="T209" s="12" t="n">
        <f aca="false">M75</f>
        <v>2</v>
      </c>
      <c r="U209" s="12" t="n">
        <f aca="false">IF($O$79=O209, T209, 0)</f>
        <v>0</v>
      </c>
      <c r="V209" s="12"/>
      <c r="W209" s="40"/>
    </row>
    <row r="210" customFormat="false" ht="13.8" hidden="false" customHeight="false" outlineLevel="0" collapsed="false">
      <c r="C210" s="41"/>
      <c r="D210" s="12" t="n">
        <f aca="false">D209+1</f>
        <v>122</v>
      </c>
      <c r="E210" s="12" t="s">
        <v>400</v>
      </c>
      <c r="F210" s="40" t="n">
        <f aca="false">IF($O$16=E210, D210, 0)</f>
        <v>0</v>
      </c>
      <c r="G210" s="12"/>
      <c r="H210" s="12"/>
      <c r="I210" s="12"/>
      <c r="J210" s="12"/>
      <c r="K210" s="12"/>
      <c r="L210" s="40"/>
      <c r="M210" s="0"/>
      <c r="N210" s="41"/>
      <c r="O210" s="12"/>
      <c r="P210" s="12"/>
      <c r="Q210" s="12"/>
      <c r="R210" s="12"/>
      <c r="S210" s="12"/>
      <c r="T210" s="12"/>
      <c r="U210" s="12" t="n">
        <f aca="false">SUM(U201:U209)</f>
        <v>200</v>
      </c>
      <c r="V210" s="12"/>
      <c r="W210" s="40"/>
    </row>
    <row r="211" customFormat="false" ht="13.8" hidden="false" customHeight="false" outlineLevel="0" collapsed="false">
      <c r="C211" s="41"/>
      <c r="D211" s="12" t="n">
        <f aca="false">D210+1</f>
        <v>123</v>
      </c>
      <c r="E211" s="12" t="s">
        <v>401</v>
      </c>
      <c r="F211" s="40" t="n">
        <f aca="false">IF($O$16=E211, D211, 0)</f>
        <v>0</v>
      </c>
      <c r="G211" s="12"/>
      <c r="H211" s="12"/>
      <c r="I211" s="12"/>
      <c r="J211" s="12"/>
      <c r="K211" s="12"/>
      <c r="L211" s="40"/>
      <c r="M211" s="0"/>
      <c r="N211" s="41" t="s">
        <v>163</v>
      </c>
      <c r="O211" s="12" t="s">
        <v>164</v>
      </c>
      <c r="P211" s="12"/>
      <c r="Q211" s="12"/>
      <c r="R211" s="12"/>
      <c r="S211" s="12"/>
      <c r="T211" s="12"/>
      <c r="U211" s="12"/>
      <c r="V211" s="12"/>
      <c r="W211" s="40"/>
    </row>
    <row r="212" customFormat="false" ht="13.8" hidden="false" customHeight="false" outlineLevel="0" collapsed="false">
      <c r="C212" s="41"/>
      <c r="D212" s="12" t="n">
        <f aca="false">D211+1</f>
        <v>124</v>
      </c>
      <c r="E212" s="12" t="s">
        <v>402</v>
      </c>
      <c r="F212" s="40" t="n">
        <f aca="false">IF($O$16=E212, D212, 0)</f>
        <v>0</v>
      </c>
      <c r="G212" s="12"/>
      <c r="H212" s="12"/>
      <c r="I212" s="12"/>
      <c r="J212" s="12"/>
      <c r="K212" s="12"/>
      <c r="L212" s="40"/>
      <c r="M212" s="0"/>
      <c r="N212" s="41"/>
      <c r="O212" s="12" t="s">
        <v>165</v>
      </c>
      <c r="P212" s="12"/>
      <c r="Q212" s="12"/>
      <c r="R212" s="12"/>
      <c r="S212" s="12"/>
      <c r="T212" s="12" t="n">
        <v>1</v>
      </c>
      <c r="U212" s="12"/>
      <c r="V212" s="12"/>
      <c r="W212" s="40"/>
    </row>
    <row r="213" customFormat="false" ht="13.8" hidden="false" customHeight="false" outlineLevel="0" collapsed="false">
      <c r="C213" s="41"/>
      <c r="D213" s="12" t="n">
        <f aca="false">D212+1</f>
        <v>125</v>
      </c>
      <c r="E213" s="12" t="s">
        <v>403</v>
      </c>
      <c r="F213" s="40" t="n">
        <f aca="false">IF($O$16=E213, D213, 0)</f>
        <v>0</v>
      </c>
      <c r="G213" s="12"/>
      <c r="H213" s="12"/>
      <c r="I213" s="12"/>
      <c r="J213" s="12"/>
      <c r="K213" s="12"/>
      <c r="L213" s="40"/>
      <c r="M213" s="0"/>
      <c r="N213" s="41"/>
      <c r="O213" s="12" t="s">
        <v>166</v>
      </c>
      <c r="P213" s="12"/>
      <c r="Q213" s="12"/>
      <c r="R213" s="12"/>
      <c r="S213" s="12"/>
      <c r="T213" s="12" t="n">
        <v>2</v>
      </c>
      <c r="U213" s="12"/>
      <c r="V213" s="12"/>
      <c r="W213" s="40"/>
    </row>
    <row r="214" customFormat="false" ht="13.8" hidden="false" customHeight="false" outlineLevel="0" collapsed="false">
      <c r="C214" s="41"/>
      <c r="D214" s="12" t="n">
        <f aca="false">D213+1</f>
        <v>126</v>
      </c>
      <c r="E214" s="12" t="s">
        <v>404</v>
      </c>
      <c r="F214" s="40" t="n">
        <f aca="false">IF($O$16=E214, D214, 0)</f>
        <v>0</v>
      </c>
      <c r="G214" s="12"/>
      <c r="H214" s="12"/>
      <c r="I214" s="12"/>
      <c r="J214" s="12"/>
      <c r="K214" s="12"/>
      <c r="L214" s="40"/>
      <c r="M214" s="0"/>
      <c r="N214" s="41"/>
      <c r="O214" s="12" t="s">
        <v>167</v>
      </c>
      <c r="P214" s="12"/>
      <c r="Q214" s="12"/>
      <c r="R214" s="12"/>
      <c r="S214" s="12"/>
      <c r="T214" s="12" t="n">
        <v>4</v>
      </c>
      <c r="U214" s="12"/>
      <c r="V214" s="12"/>
      <c r="W214" s="40"/>
    </row>
    <row r="215" customFormat="false" ht="13.8" hidden="false" customHeight="false" outlineLevel="0" collapsed="false">
      <c r="C215" s="41"/>
      <c r="D215" s="12" t="n">
        <f aca="false">D214+1</f>
        <v>127</v>
      </c>
      <c r="E215" s="12" t="s">
        <v>405</v>
      </c>
      <c r="F215" s="40" t="n">
        <f aca="false">IF($O$16=E215, D215, 0)</f>
        <v>0</v>
      </c>
      <c r="G215" s="12"/>
      <c r="H215" s="12"/>
      <c r="I215" s="12"/>
      <c r="J215" s="12"/>
      <c r="K215" s="12"/>
      <c r="L215" s="40"/>
      <c r="M215" s="0"/>
      <c r="N215" s="41"/>
      <c r="O215" s="12" t="s">
        <v>168</v>
      </c>
      <c r="P215" s="12"/>
      <c r="Q215" s="12"/>
      <c r="R215" s="12"/>
      <c r="S215" s="12"/>
      <c r="T215" s="12" t="n">
        <v>8</v>
      </c>
      <c r="U215" s="12"/>
      <c r="V215" s="12"/>
      <c r="W215" s="40"/>
    </row>
    <row r="216" customFormat="false" ht="13.8" hidden="false" customHeight="false" outlineLevel="0" collapsed="false">
      <c r="C216" s="41"/>
      <c r="D216" s="12" t="n">
        <f aca="false">D215+1</f>
        <v>128</v>
      </c>
      <c r="E216" s="12" t="s">
        <v>406</v>
      </c>
      <c r="F216" s="40" t="n">
        <f aca="false">IF($O$16=E216, D216, 0)</f>
        <v>0</v>
      </c>
      <c r="G216" s="12"/>
      <c r="H216" s="12"/>
      <c r="I216" s="12"/>
      <c r="J216" s="12"/>
      <c r="K216" s="12"/>
      <c r="L216" s="40"/>
      <c r="M216" s="0"/>
      <c r="N216" s="41"/>
      <c r="O216" s="12" t="s">
        <v>169</v>
      </c>
      <c r="P216" s="12"/>
      <c r="Q216" s="12"/>
      <c r="R216" s="12"/>
      <c r="S216" s="12"/>
      <c r="T216" s="12" t="n">
        <v>16</v>
      </c>
      <c r="U216" s="12"/>
      <c r="V216" s="12"/>
      <c r="W216" s="40"/>
    </row>
    <row r="217" customFormat="false" ht="14.4" hidden="false" customHeight="false" outlineLevel="0" collapsed="false">
      <c r="C217" s="37"/>
      <c r="D217" s="38"/>
      <c r="E217" s="38"/>
      <c r="F217" s="39" t="n">
        <f aca="false">SUM(F89:F216)</f>
        <v>50</v>
      </c>
      <c r="G217" s="38"/>
      <c r="H217" s="38"/>
      <c r="I217" s="38"/>
      <c r="J217" s="38"/>
      <c r="K217" s="38"/>
      <c r="L217" s="39"/>
      <c r="M217" s="0"/>
      <c r="N217" s="41"/>
      <c r="O217" s="12" t="s">
        <v>170</v>
      </c>
      <c r="P217" s="12"/>
      <c r="Q217" s="12"/>
      <c r="R217" s="12"/>
      <c r="S217" s="12"/>
      <c r="T217" s="12" t="n">
        <v>32</v>
      </c>
      <c r="U217" s="12"/>
      <c r="V217" s="12"/>
      <c r="W217" s="40"/>
    </row>
    <row r="218" customFormat="false" ht="13.8" hidden="false" customHeight="false" outlineLevel="0" collapsed="false">
      <c r="D218" s="0"/>
      <c r="E218" s="0"/>
      <c r="F218" s="0"/>
      <c r="G218" s="0"/>
      <c r="H218" s="0"/>
      <c r="I218" s="0"/>
      <c r="J218" s="0"/>
      <c r="K218" s="0"/>
      <c r="L218" s="0"/>
      <c r="M218" s="0"/>
      <c r="N218" s="41"/>
      <c r="O218" s="12" t="s">
        <v>171</v>
      </c>
      <c r="P218" s="12"/>
      <c r="Q218" s="12"/>
      <c r="R218" s="12"/>
      <c r="S218" s="12"/>
      <c r="T218" s="12" t="n">
        <v>64</v>
      </c>
      <c r="U218" s="12"/>
      <c r="V218" s="12"/>
      <c r="W218" s="40"/>
    </row>
    <row r="219" customFormat="false" ht="13.8" hidden="false" customHeight="false" outlineLevel="0" collapsed="false">
      <c r="D219" s="0"/>
      <c r="E219" s="0"/>
      <c r="F219" s="0"/>
      <c r="G219" s="0"/>
      <c r="H219" s="0"/>
      <c r="I219" s="0"/>
      <c r="J219" s="0"/>
      <c r="K219" s="0"/>
      <c r="L219" s="0"/>
      <c r="M219" s="0"/>
      <c r="N219" s="41"/>
      <c r="O219" s="12" t="s">
        <v>172</v>
      </c>
      <c r="P219" s="12"/>
      <c r="Q219" s="12"/>
      <c r="R219" s="12"/>
      <c r="S219" s="12"/>
      <c r="T219" s="12" t="n">
        <v>128</v>
      </c>
      <c r="U219" s="12"/>
      <c r="V219" s="12"/>
      <c r="W219" s="40"/>
    </row>
    <row r="220" customFormat="false" ht="13.8" hidden="false" customHeight="false" outlineLevel="0" collapsed="false">
      <c r="D220" s="0"/>
      <c r="E220" s="0"/>
      <c r="F220" s="0"/>
      <c r="G220" s="0"/>
      <c r="H220" s="0"/>
      <c r="I220" s="0"/>
      <c r="J220" s="0"/>
      <c r="K220" s="0"/>
      <c r="L220" s="0"/>
      <c r="M220" s="0"/>
      <c r="N220" s="41"/>
      <c r="O220" s="12" t="s">
        <v>173</v>
      </c>
      <c r="P220" s="12"/>
      <c r="Q220" s="12"/>
      <c r="R220" s="12"/>
      <c r="S220" s="12"/>
      <c r="T220" s="12" t="n">
        <v>256</v>
      </c>
      <c r="U220" s="12"/>
      <c r="V220" s="12"/>
      <c r="W220" s="40"/>
    </row>
    <row r="221" customFormat="false" ht="13.8" hidden="false" customHeight="false" outlineLevel="0" collapsed="false">
      <c r="D221" s="0"/>
      <c r="E221" s="0"/>
      <c r="F221" s="0"/>
      <c r="G221" s="0"/>
      <c r="H221" s="0"/>
      <c r="I221" s="0"/>
      <c r="J221" s="0"/>
      <c r="K221" s="0"/>
      <c r="L221" s="0"/>
      <c r="M221" s="0"/>
      <c r="N221" s="41"/>
      <c r="O221" s="12" t="s">
        <v>174</v>
      </c>
      <c r="P221" s="12"/>
      <c r="Q221" s="12"/>
      <c r="R221" s="12"/>
      <c r="S221" s="12"/>
      <c r="T221" s="12" t="n">
        <v>512</v>
      </c>
      <c r="U221" s="12"/>
      <c r="V221" s="12"/>
      <c r="W221" s="40"/>
    </row>
    <row r="222" customFormat="false" ht="13.8" hidden="false" customHeight="false" outlineLevel="0" collapsed="false">
      <c r="D222" s="0"/>
      <c r="E222" s="0"/>
      <c r="F222" s="0"/>
      <c r="G222" s="0"/>
      <c r="H222" s="0"/>
      <c r="I222" s="0"/>
      <c r="J222" s="0"/>
      <c r="K222" s="0"/>
      <c r="L222" s="0"/>
      <c r="M222" s="0"/>
      <c r="N222" s="41"/>
      <c r="O222" s="12" t="s">
        <v>175</v>
      </c>
      <c r="P222" s="12"/>
      <c r="Q222" s="12"/>
      <c r="R222" s="12"/>
      <c r="S222" s="12"/>
      <c r="T222" s="12" t="n">
        <v>1024</v>
      </c>
      <c r="U222" s="12"/>
      <c r="V222" s="12"/>
      <c r="W222" s="40"/>
    </row>
    <row r="223" customFormat="false" ht="13.8" hidden="false" customHeight="false" outlineLevel="0" collapsed="false">
      <c r="D223" s="0"/>
      <c r="E223" s="0"/>
      <c r="F223" s="0"/>
      <c r="G223" s="0"/>
      <c r="H223" s="0"/>
      <c r="I223" s="0"/>
      <c r="J223" s="0"/>
      <c r="K223" s="0"/>
      <c r="L223" s="0"/>
      <c r="M223" s="0"/>
      <c r="N223" s="41"/>
      <c r="O223" s="12" t="s">
        <v>176</v>
      </c>
      <c r="P223" s="12"/>
      <c r="Q223" s="12"/>
      <c r="R223" s="12"/>
      <c r="S223" s="12"/>
      <c r="T223" s="12" t="n">
        <v>2048</v>
      </c>
      <c r="U223" s="12"/>
      <c r="V223" s="12"/>
      <c r="W223" s="40"/>
    </row>
    <row r="224" customFormat="false" ht="13.8" hidden="false" customHeight="false" outlineLevel="0" collapsed="false">
      <c r="D224" s="0"/>
      <c r="E224" s="0"/>
      <c r="F224" s="0"/>
      <c r="G224" s="0"/>
      <c r="H224" s="0"/>
      <c r="I224" s="0"/>
      <c r="J224" s="0"/>
      <c r="K224" s="0"/>
      <c r="L224" s="0"/>
      <c r="M224" s="0"/>
      <c r="N224" s="41"/>
      <c r="O224" s="12" t="s">
        <v>177</v>
      </c>
      <c r="P224" s="12"/>
      <c r="Q224" s="12"/>
      <c r="R224" s="12"/>
      <c r="S224" s="12"/>
      <c r="T224" s="12" t="n">
        <v>4096</v>
      </c>
      <c r="U224" s="12"/>
      <c r="V224" s="12"/>
      <c r="W224" s="40"/>
    </row>
    <row r="225" customFormat="false" ht="13.8" hidden="false" customHeight="false" outlineLevel="0" collapsed="false">
      <c r="D225" s="0"/>
      <c r="E225" s="0"/>
      <c r="F225" s="0"/>
      <c r="G225" s="0"/>
      <c r="H225" s="0"/>
      <c r="I225" s="0"/>
      <c r="J225" s="0"/>
      <c r="K225" s="0"/>
      <c r="L225" s="0"/>
      <c r="M225" s="0"/>
      <c r="N225" s="41"/>
      <c r="O225" s="12" t="s">
        <v>178</v>
      </c>
      <c r="P225" s="12"/>
      <c r="Q225" s="12"/>
      <c r="R225" s="12"/>
      <c r="S225" s="12"/>
      <c r="T225" s="12" t="n">
        <v>8192</v>
      </c>
      <c r="U225" s="12"/>
      <c r="V225" s="12"/>
      <c r="W225" s="40"/>
    </row>
    <row r="226" customFormat="false" ht="13.8" hidden="false" customHeight="false" outlineLevel="0" collapsed="false">
      <c r="D226" s="0"/>
      <c r="E226" s="0"/>
      <c r="F226" s="0"/>
      <c r="G226" s="0"/>
      <c r="H226" s="0"/>
      <c r="I226" s="0"/>
      <c r="J226" s="0"/>
      <c r="K226" s="0"/>
      <c r="L226" s="0"/>
      <c r="M226" s="0"/>
      <c r="N226" s="41"/>
      <c r="O226" s="12" t="s">
        <v>179</v>
      </c>
      <c r="P226" s="12"/>
      <c r="Q226" s="12"/>
      <c r="R226" s="12"/>
      <c r="S226" s="12"/>
      <c r="T226" s="12" t="n">
        <v>16384</v>
      </c>
      <c r="U226" s="12"/>
      <c r="V226" s="12"/>
      <c r="W226" s="40"/>
    </row>
    <row r="227" customFormat="false" ht="13.8" hidden="false" customHeight="false" outlineLevel="0" collapsed="false">
      <c r="D227" s="0"/>
      <c r="E227" s="0"/>
      <c r="F227" s="0"/>
      <c r="G227" s="0"/>
      <c r="H227" s="0"/>
      <c r="I227" s="0"/>
      <c r="J227" s="0"/>
      <c r="K227" s="0"/>
      <c r="L227" s="0"/>
      <c r="M227" s="0"/>
      <c r="N227" s="41"/>
      <c r="O227" s="12" t="s">
        <v>180</v>
      </c>
      <c r="P227" s="12"/>
      <c r="Q227" s="12"/>
      <c r="R227" s="12"/>
      <c r="S227" s="12"/>
      <c r="T227" s="12" t="n">
        <v>32768</v>
      </c>
      <c r="U227" s="12"/>
      <c r="V227" s="12"/>
      <c r="W227" s="40"/>
    </row>
    <row r="228" customFormat="false" ht="13.8" hidden="false" customHeight="false" outlineLevel="0" collapsed="false">
      <c r="D228" s="0"/>
      <c r="E228" s="0"/>
      <c r="F228" s="0"/>
      <c r="G228" s="0"/>
      <c r="H228" s="0"/>
      <c r="I228" s="0"/>
      <c r="J228" s="0"/>
      <c r="K228" s="0"/>
      <c r="L228" s="0"/>
      <c r="M228" s="0"/>
      <c r="N228" s="41"/>
      <c r="O228" s="12"/>
      <c r="P228" s="12"/>
      <c r="Q228" s="12"/>
      <c r="R228" s="12"/>
      <c r="S228" s="12"/>
      <c r="T228" s="12"/>
      <c r="U228" s="12"/>
      <c r="V228" s="12"/>
      <c r="W228" s="40"/>
    </row>
    <row r="229" customFormat="false" ht="13.8" hidden="false" customHeight="false" outlineLevel="0" collapsed="false">
      <c r="D229" s="0"/>
      <c r="E229" s="0"/>
      <c r="F229" s="0"/>
      <c r="G229" s="0"/>
      <c r="H229" s="0"/>
      <c r="I229" s="0"/>
      <c r="J229" s="0"/>
      <c r="K229" s="0"/>
      <c r="L229" s="0"/>
      <c r="M229" s="0"/>
      <c r="N229" s="41" t="s">
        <v>181</v>
      </c>
      <c r="O229" s="12"/>
      <c r="P229" s="12"/>
      <c r="Q229" s="12"/>
      <c r="R229" s="12"/>
      <c r="S229" s="12"/>
      <c r="T229" s="12"/>
      <c r="U229" s="12"/>
      <c r="V229" s="12"/>
      <c r="W229" s="40"/>
    </row>
    <row r="230" customFormat="false" ht="13.8" hidden="false" customHeight="false" outlineLevel="0" collapsed="false">
      <c r="D230" s="0"/>
      <c r="E230" s="0"/>
      <c r="F230" s="0"/>
      <c r="G230" s="0"/>
      <c r="H230" s="0"/>
      <c r="I230" s="0"/>
      <c r="J230" s="0"/>
      <c r="K230" s="0"/>
      <c r="L230" s="0"/>
      <c r="M230" s="0"/>
      <c r="N230" s="41"/>
      <c r="O230" s="12" t="n">
        <v>1</v>
      </c>
      <c r="P230" s="12"/>
      <c r="Q230" s="0"/>
      <c r="R230" s="0"/>
      <c r="S230" s="14" t="s">
        <v>182</v>
      </c>
      <c r="T230" s="47" t="n">
        <f aca="false">Q66+($Q$65/512)</f>
        <v>5.42578125</v>
      </c>
      <c r="U230" s="0"/>
      <c r="V230" s="12"/>
      <c r="W230" s="40"/>
    </row>
    <row r="231" customFormat="false" ht="13.8" hidden="false" customHeight="false" outlineLevel="0" collapsed="false">
      <c r="D231" s="0"/>
      <c r="E231" s="0"/>
      <c r="F231" s="0"/>
      <c r="G231" s="0"/>
      <c r="H231" s="0"/>
      <c r="I231" s="0"/>
      <c r="J231" s="0"/>
      <c r="K231" s="0"/>
      <c r="L231" s="0"/>
      <c r="M231" s="0"/>
      <c r="N231" s="41"/>
      <c r="O231" s="12" t="n">
        <v>2</v>
      </c>
      <c r="P231" s="12"/>
      <c r="Q231" s="12"/>
      <c r="R231" s="12"/>
      <c r="S231" s="12"/>
      <c r="T231" s="12"/>
      <c r="U231" s="12"/>
      <c r="V231" s="12"/>
      <c r="W231" s="40"/>
    </row>
    <row r="232" customFormat="false" ht="13.8" hidden="false" customHeight="false" outlineLevel="0" collapsed="false">
      <c r="D232" s="0"/>
      <c r="E232" s="0"/>
      <c r="F232" s="0"/>
      <c r="G232" s="0"/>
      <c r="H232" s="0"/>
      <c r="I232" s="0"/>
      <c r="J232" s="0"/>
      <c r="K232" s="0"/>
      <c r="L232" s="0"/>
      <c r="M232" s="0"/>
      <c r="N232" s="41"/>
      <c r="O232" s="14" t="s">
        <v>110</v>
      </c>
      <c r="P232" s="12"/>
      <c r="Q232" s="12"/>
      <c r="R232" s="12"/>
      <c r="S232" s="12"/>
      <c r="T232" s="0"/>
      <c r="U232" s="12"/>
      <c r="V232" s="12"/>
      <c r="W232" s="40"/>
    </row>
    <row r="233" customFormat="false" ht="14.4" hidden="false" customHeight="false" outlineLevel="0" collapsed="false">
      <c r="D233" s="0"/>
      <c r="E233" s="0"/>
      <c r="F233" s="0"/>
      <c r="G233" s="0"/>
      <c r="H233" s="0"/>
      <c r="I233" s="0"/>
      <c r="J233" s="0"/>
      <c r="K233" s="0"/>
      <c r="L233" s="0"/>
      <c r="M233" s="0"/>
      <c r="N233" s="37"/>
      <c r="O233" s="38" t="n">
        <v>512</v>
      </c>
      <c r="P233" s="38"/>
      <c r="Q233" s="38"/>
      <c r="R233" s="38"/>
      <c r="S233" s="38"/>
      <c r="T233" s="38"/>
      <c r="U233" s="38"/>
      <c r="V233" s="38"/>
      <c r="W233" s="39"/>
    </row>
    <row r="234" customFormat="false" ht="13.8" hidden="false" customHeight="false" outlineLevel="0" collapsed="false">
      <c r="D234" s="0"/>
      <c r="E234" s="0"/>
      <c r="F234" s="0"/>
      <c r="G234" s="0"/>
      <c r="H234" s="0"/>
      <c r="I234" s="0"/>
      <c r="J234" s="0"/>
      <c r="K234" s="0"/>
      <c r="L234" s="0"/>
      <c r="M234" s="0"/>
      <c r="N234" s="0"/>
      <c r="O234" s="0"/>
      <c r="P234" s="0"/>
      <c r="Q234" s="0"/>
      <c r="R234" s="0"/>
      <c r="S234" s="0"/>
    </row>
    <row r="235" customFormat="false" ht="13.8" hidden="false" customHeight="false" outlineLevel="0" collapsed="false">
      <c r="D235" s="0"/>
      <c r="E235" s="0"/>
      <c r="F235" s="0"/>
      <c r="G235" s="0"/>
      <c r="H235" s="0"/>
      <c r="I235" s="0"/>
      <c r="J235" s="0"/>
      <c r="K235" s="0"/>
      <c r="L235" s="0"/>
      <c r="M235" s="0"/>
      <c r="N235" s="0"/>
      <c r="O235" s="0"/>
      <c r="P235" s="0"/>
      <c r="Q235" s="0"/>
      <c r="R235" s="0"/>
      <c r="S235" s="0"/>
    </row>
    <row r="236" customFormat="false" ht="14.4" hidden="false" customHeight="false" outlineLevel="0" collapsed="false">
      <c r="D236" s="0"/>
      <c r="E236" s="0"/>
      <c r="F236" s="0"/>
      <c r="G236" s="0"/>
      <c r="H236" s="0"/>
      <c r="I236" s="0"/>
      <c r="J236" s="0"/>
      <c r="K236" s="0"/>
      <c r="L236" s="0"/>
      <c r="M236" s="0"/>
      <c r="N236" s="0"/>
      <c r="O236" s="0"/>
      <c r="P236" s="0"/>
      <c r="Q236" s="0"/>
      <c r="R236" s="0"/>
      <c r="S236" s="0"/>
    </row>
    <row r="237" customFormat="false" ht="13.8" hidden="false" customHeight="false" outlineLevel="0" collapsed="false">
      <c r="D237" s="31" t="s">
        <v>407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3"/>
      <c r="Q237" s="0"/>
      <c r="R237" s="0"/>
      <c r="S237" s="0"/>
    </row>
    <row r="238" customFormat="false" ht="13.8" hidden="false" customHeight="false" outlineLevel="0" collapsed="false">
      <c r="D238" s="34" t="s">
        <v>211</v>
      </c>
      <c r="E238" s="35"/>
      <c r="F238" s="35" t="s">
        <v>212</v>
      </c>
      <c r="G238" s="35" t="s">
        <v>213</v>
      </c>
      <c r="H238" s="35" t="s">
        <v>214</v>
      </c>
      <c r="I238" s="35" t="s">
        <v>215</v>
      </c>
      <c r="J238" s="35" t="s">
        <v>216</v>
      </c>
      <c r="K238" s="35"/>
      <c r="L238" s="35"/>
      <c r="M238" s="35" t="s">
        <v>217</v>
      </c>
      <c r="N238" s="35"/>
      <c r="O238" s="35"/>
      <c r="P238" s="36"/>
      <c r="Q238" s="0"/>
      <c r="R238" s="0"/>
      <c r="S238" s="0"/>
    </row>
    <row r="239" customFormat="false" ht="13.8" hidden="false" customHeight="false" outlineLevel="0" collapsed="false">
      <c r="D239" s="4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40"/>
      <c r="Q239" s="0"/>
      <c r="R239" s="0"/>
      <c r="S239" s="0"/>
    </row>
    <row r="240" customFormat="false" ht="13.8" hidden="false" customHeight="false" outlineLevel="0" collapsed="false">
      <c r="D240" s="41" t="s">
        <v>218</v>
      </c>
      <c r="E240" s="12"/>
      <c r="F240" s="12" t="s">
        <v>219</v>
      </c>
      <c r="G240" s="12" t="n">
        <v>0</v>
      </c>
      <c r="H240" s="12" t="n">
        <v>64</v>
      </c>
      <c r="I240" s="18" t="s">
        <v>6</v>
      </c>
      <c r="J240" s="12" t="s">
        <v>21</v>
      </c>
      <c r="K240" s="12"/>
      <c r="L240" s="12"/>
      <c r="M240" s="12" t="s">
        <v>220</v>
      </c>
      <c r="N240" s="12"/>
      <c r="O240" s="12"/>
      <c r="P240" s="40"/>
      <c r="Q240" s="1" t="n">
        <f aca="false">IF(E22&gt;H240,1,0)</f>
        <v>0</v>
      </c>
      <c r="R240" s="0"/>
      <c r="S240" s="0"/>
    </row>
    <row r="241" customFormat="false" ht="13.8" hidden="false" customHeight="false" outlineLevel="0" collapsed="false">
      <c r="D241" s="41" t="s">
        <v>225</v>
      </c>
      <c r="E241" s="12"/>
      <c r="F241" s="12" t="s">
        <v>219</v>
      </c>
      <c r="G241" s="12" t="n">
        <v>4</v>
      </c>
      <c r="H241" s="12" t="n">
        <v>32</v>
      </c>
      <c r="I241" s="18" t="s">
        <v>6</v>
      </c>
      <c r="J241" s="12" t="s">
        <v>61</v>
      </c>
      <c r="K241" s="12"/>
      <c r="L241" s="12"/>
      <c r="M241" s="12" t="s">
        <v>227</v>
      </c>
      <c r="N241" s="12"/>
      <c r="O241" s="12"/>
      <c r="P241" s="40"/>
      <c r="Q241" s="1" t="n">
        <f aca="false">IF($E$23&gt;$H$241,1,0)</f>
        <v>0</v>
      </c>
      <c r="R241" s="1" t="n">
        <f aca="false">IF($E$23&lt;$G$241,1,0)</f>
        <v>0</v>
      </c>
      <c r="S241" s="1" t="n">
        <f aca="false">SUM(Q241:R241)</f>
        <v>0</v>
      </c>
    </row>
    <row r="242" customFormat="false" ht="13.8" hidden="false" customHeight="false" outlineLevel="0" collapsed="false">
      <c r="D242" s="41" t="s">
        <v>228</v>
      </c>
      <c r="E242" s="12"/>
      <c r="F242" s="12" t="s">
        <v>219</v>
      </c>
      <c r="G242" s="12" t="n">
        <v>32</v>
      </c>
      <c r="H242" s="12" t="n">
        <v>100</v>
      </c>
      <c r="I242" s="18" t="s">
        <v>30</v>
      </c>
      <c r="J242" s="12" t="s">
        <v>229</v>
      </c>
      <c r="K242" s="12"/>
      <c r="L242" s="12"/>
      <c r="M242" s="12" t="s">
        <v>227</v>
      </c>
      <c r="N242" s="12"/>
      <c r="O242" s="12"/>
      <c r="P242" s="40"/>
      <c r="Q242" s="1" t="n">
        <f aca="false">IF($G$46&gt;$H$242,1,0)</f>
        <v>0</v>
      </c>
      <c r="R242" s="1" t="n">
        <f aca="false">IF($G$46&lt;$G$242,1,0)</f>
        <v>0</v>
      </c>
      <c r="S242" s="1" t="n">
        <f aca="false">IF($I$51="OFF", 0, SUM($Q$242:$R$242))</f>
        <v>0</v>
      </c>
    </row>
    <row r="243" customFormat="false" ht="13.8" hidden="false" customHeight="false" outlineLevel="0" collapsed="false">
      <c r="D243" s="41" t="s">
        <v>408</v>
      </c>
      <c r="E243" s="12"/>
      <c r="F243" s="12" t="s">
        <v>409</v>
      </c>
      <c r="G243" s="12" t="n">
        <v>0</v>
      </c>
      <c r="H243" s="12" t="n">
        <v>200</v>
      </c>
      <c r="I243" s="18" t="s">
        <v>6</v>
      </c>
      <c r="J243" s="12"/>
      <c r="K243" s="12"/>
      <c r="L243" s="12"/>
      <c r="M243" s="12" t="s">
        <v>410</v>
      </c>
      <c r="N243" s="12"/>
      <c r="O243" s="12"/>
      <c r="P243" s="40"/>
      <c r="Q243" s="0"/>
      <c r="R243" s="0"/>
    </row>
    <row r="244" customFormat="false" ht="13.8" hidden="false" customHeight="false" outlineLevel="0" collapsed="false">
      <c r="D244" s="41" t="s">
        <v>411</v>
      </c>
      <c r="E244" s="12"/>
      <c r="F244" s="12" t="s">
        <v>412</v>
      </c>
      <c r="G244" s="12" t="n">
        <v>0</v>
      </c>
      <c r="H244" s="12" t="n">
        <v>100</v>
      </c>
      <c r="I244" s="18" t="s">
        <v>6</v>
      </c>
      <c r="J244" s="12" t="s">
        <v>413</v>
      </c>
      <c r="K244" s="12"/>
      <c r="L244" s="12"/>
      <c r="M244" s="12" t="s">
        <v>414</v>
      </c>
      <c r="N244" s="12"/>
      <c r="O244" s="12"/>
      <c r="P244" s="40"/>
      <c r="Q244" s="0"/>
      <c r="R244" s="0"/>
    </row>
    <row r="245" customFormat="false" ht="13.8" hidden="false" customHeight="false" outlineLevel="0" collapsed="false">
      <c r="D245" s="41" t="s">
        <v>415</v>
      </c>
      <c r="E245" s="12"/>
      <c r="F245" s="12" t="s">
        <v>412</v>
      </c>
      <c r="G245" s="12" t="n">
        <v>0</v>
      </c>
      <c r="H245" s="12" t="n">
        <v>200</v>
      </c>
      <c r="I245" s="18" t="s">
        <v>6</v>
      </c>
      <c r="J245" s="12" t="s">
        <v>416</v>
      </c>
      <c r="K245" s="12"/>
      <c r="L245" s="12"/>
      <c r="M245" s="12"/>
      <c r="N245" s="12"/>
      <c r="O245" s="12"/>
      <c r="P245" s="40"/>
      <c r="Q245" s="0"/>
      <c r="R245" s="0"/>
    </row>
    <row r="246" customFormat="false" ht="13.8" hidden="false" customHeight="false" outlineLevel="0" collapsed="false">
      <c r="D246" s="41" t="s">
        <v>417</v>
      </c>
      <c r="E246" s="12"/>
      <c r="F246" s="12" t="s">
        <v>418</v>
      </c>
      <c r="G246" s="14" t="s">
        <v>419</v>
      </c>
      <c r="H246" s="12" t="n">
        <v>50</v>
      </c>
      <c r="I246" s="18" t="s">
        <v>6</v>
      </c>
      <c r="J246" s="12"/>
      <c r="K246" s="12"/>
      <c r="L246" s="12"/>
      <c r="M246" s="12" t="s">
        <v>420</v>
      </c>
      <c r="N246" s="12"/>
      <c r="O246" s="12"/>
      <c r="P246" s="40"/>
      <c r="Q246" s="0"/>
      <c r="R246" s="0"/>
    </row>
    <row r="247" customFormat="false" ht="13.8" hidden="false" customHeight="false" outlineLevel="0" collapsed="false">
      <c r="D247" s="41"/>
      <c r="E247" s="12"/>
      <c r="F247" s="12"/>
      <c r="G247" s="12"/>
      <c r="H247" s="12"/>
      <c r="I247" s="18"/>
      <c r="J247" s="12"/>
      <c r="K247" s="12"/>
      <c r="L247" s="12"/>
      <c r="M247" s="12"/>
      <c r="N247" s="12"/>
      <c r="O247" s="12"/>
      <c r="P247" s="40"/>
      <c r="Q247" s="0"/>
      <c r="R247" s="0"/>
    </row>
    <row r="248" customFormat="false" ht="13.8" hidden="false" customHeight="false" outlineLevel="0" collapsed="false">
      <c r="D248" s="41" t="s">
        <v>230</v>
      </c>
      <c r="E248" s="12"/>
      <c r="F248" s="12" t="s">
        <v>231</v>
      </c>
      <c r="G248" s="12" t="n">
        <v>5</v>
      </c>
      <c r="H248" s="12" t="n">
        <v>64</v>
      </c>
      <c r="I248" s="18" t="s">
        <v>6</v>
      </c>
      <c r="J248" s="12" t="s">
        <v>232</v>
      </c>
      <c r="K248" s="12"/>
      <c r="L248" s="12"/>
      <c r="M248" s="12" t="s">
        <v>233</v>
      </c>
      <c r="N248" s="12"/>
      <c r="O248" s="12"/>
      <c r="P248" s="40"/>
      <c r="Q248" s="0"/>
      <c r="R248" s="0"/>
    </row>
    <row r="249" customFormat="false" ht="13.8" hidden="false" customHeight="false" outlineLevel="0" collapsed="false">
      <c r="D249" s="41" t="s">
        <v>421</v>
      </c>
      <c r="E249" s="12"/>
      <c r="F249" s="12" t="s">
        <v>422</v>
      </c>
      <c r="G249" s="12" t="n">
        <v>350</v>
      </c>
      <c r="H249" s="12" t="n">
        <v>700</v>
      </c>
      <c r="I249" s="18" t="s">
        <v>6</v>
      </c>
      <c r="J249" s="12"/>
      <c r="K249" s="12"/>
      <c r="L249" s="12"/>
      <c r="M249" s="12" t="s">
        <v>423</v>
      </c>
      <c r="N249" s="12"/>
      <c r="O249" s="12"/>
      <c r="P249" s="40"/>
      <c r="Q249" s="0"/>
      <c r="R249" s="0"/>
    </row>
    <row r="250" customFormat="false" ht="13.8" hidden="false" customHeight="false" outlineLevel="0" collapsed="false">
      <c r="D250" s="41" t="s">
        <v>424</v>
      </c>
      <c r="E250" s="12"/>
      <c r="F250" s="12" t="s">
        <v>425</v>
      </c>
      <c r="G250" s="12" t="n">
        <v>10</v>
      </c>
      <c r="H250" s="12" t="n">
        <v>200</v>
      </c>
      <c r="I250" s="18" t="s">
        <v>6</v>
      </c>
      <c r="J250" s="12"/>
      <c r="K250" s="12"/>
      <c r="L250" s="12"/>
      <c r="M250" s="12" t="s">
        <v>426</v>
      </c>
      <c r="N250" s="12"/>
      <c r="O250" s="12"/>
      <c r="P250" s="40"/>
      <c r="Q250" s="0"/>
      <c r="R250" s="0"/>
    </row>
    <row r="251" customFormat="false" ht="14.4" hidden="false" customHeight="false" outlineLevel="0" collapsed="false">
      <c r="D251" s="37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9"/>
      <c r="Q251" s="0"/>
      <c r="R251" s="0"/>
    </row>
    <row r="252" customFormat="false" ht="13.8" hidden="false" customHeight="false" outlineLevel="0" collapsed="false"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0"/>
      <c r="R252" s="0"/>
    </row>
    <row r="253" customFormat="false" ht="14.4" hidden="false" customHeight="false" outlineLevel="0" collapsed="false">
      <c r="D253" s="0"/>
      <c r="E253" s="0"/>
      <c r="F253" s="0"/>
      <c r="G253" s="0"/>
      <c r="H253" s="0"/>
      <c r="I253" s="0"/>
      <c r="J253" s="0"/>
      <c r="K253" s="0"/>
      <c r="L253" s="0"/>
      <c r="M253" s="0"/>
      <c r="N253" s="0"/>
      <c r="Q253" s="0"/>
      <c r="R253" s="0"/>
    </row>
    <row r="254" customFormat="false" ht="13.8" hidden="false" customHeight="false" outlineLevel="0" collapsed="false">
      <c r="D254" s="31" t="s">
        <v>183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3"/>
      <c r="Q254" s="0"/>
      <c r="R254" s="0"/>
    </row>
    <row r="255" customFormat="false" ht="13.8" hidden="false" customHeight="false" outlineLevel="0" collapsed="false">
      <c r="D255" s="34"/>
      <c r="E255" s="35" t="s">
        <v>184</v>
      </c>
      <c r="F255" s="35"/>
      <c r="G255" s="35"/>
      <c r="H255" s="35"/>
      <c r="I255" s="35"/>
      <c r="J255" s="35"/>
      <c r="K255" s="35"/>
      <c r="L255" s="35"/>
      <c r="M255" s="35"/>
      <c r="N255" s="36"/>
      <c r="Q255" s="0"/>
      <c r="R255" s="0"/>
    </row>
    <row r="256" customFormat="false" ht="13.8" hidden="false" customHeight="false" outlineLevel="0" collapsed="false">
      <c r="D256" s="41"/>
      <c r="E256" s="12" t="s">
        <v>427</v>
      </c>
      <c r="F256" s="12" t="n">
        <f aca="false">(M35="ON")</f>
        <v>1</v>
      </c>
      <c r="G256" s="12"/>
      <c r="H256" s="12" t="s">
        <v>428</v>
      </c>
      <c r="I256" s="12"/>
      <c r="J256" s="12"/>
      <c r="K256" s="12"/>
      <c r="L256" s="12"/>
      <c r="M256" s="12"/>
      <c r="N256" s="40"/>
      <c r="Q256" s="0"/>
      <c r="R256" s="0"/>
    </row>
    <row r="257" customFormat="false" ht="13.8" hidden="false" customHeight="false" outlineLevel="0" collapsed="false">
      <c r="D257" s="41"/>
      <c r="E257" s="12" t="s">
        <v>427</v>
      </c>
      <c r="F257" s="12" t="n">
        <f aca="false">AND(M35="ON", AND(F25&lt;&gt;24, F25&lt;&gt;12))</f>
        <v>0</v>
      </c>
      <c r="G257" s="12"/>
      <c r="H257" s="12" t="s">
        <v>429</v>
      </c>
      <c r="I257" s="12"/>
      <c r="J257" s="12"/>
      <c r="K257" s="12"/>
      <c r="L257" s="12"/>
      <c r="M257" s="12"/>
      <c r="N257" s="40"/>
      <c r="Q257" s="0"/>
      <c r="R257" s="0"/>
    </row>
    <row r="258" customFormat="false" ht="13.8" hidden="false" customHeight="false" outlineLevel="0" collapsed="false">
      <c r="D258" s="41"/>
      <c r="E258" s="12" t="s">
        <v>427</v>
      </c>
      <c r="F258" s="12" t="n">
        <f aca="false">AND(M28="FREQ_12MHz", F25=24)</f>
        <v>0</v>
      </c>
      <c r="G258" s="12"/>
      <c r="H258" s="12" t="s">
        <v>430</v>
      </c>
      <c r="I258" s="12"/>
      <c r="J258" s="12"/>
      <c r="K258" s="12"/>
      <c r="L258" s="12"/>
      <c r="M258" s="12"/>
      <c r="N258" s="40"/>
      <c r="Q258" s="0"/>
      <c r="R258" s="0"/>
    </row>
    <row r="259" customFormat="false" ht="13.8" hidden="false" customHeight="false" outlineLevel="0" collapsed="false">
      <c r="D259" s="41"/>
      <c r="E259" s="12" t="s">
        <v>427</v>
      </c>
      <c r="F259" s="12" t="n">
        <f aca="false">AND(M28="FREQ_24MHz", F25=12)</f>
        <v>0</v>
      </c>
      <c r="G259" s="12"/>
      <c r="H259" s="12" t="s">
        <v>431</v>
      </c>
      <c r="I259" s="12"/>
      <c r="J259" s="12"/>
      <c r="K259" s="12"/>
      <c r="L259" s="12"/>
      <c r="M259" s="12"/>
      <c r="N259" s="40"/>
      <c r="Q259" s="0"/>
      <c r="R259" s="0"/>
    </row>
    <row r="260" customFormat="false" ht="13.8" hidden="false" customHeight="false" outlineLevel="0" collapsed="false">
      <c r="D260" s="41"/>
      <c r="E260" s="12" t="s">
        <v>427</v>
      </c>
      <c r="F260" s="12" t="n">
        <f aca="false">AND(F256, OR(F257:F259))</f>
        <v>0</v>
      </c>
      <c r="G260" s="12"/>
      <c r="H260" s="12" t="s">
        <v>192</v>
      </c>
      <c r="I260" s="12"/>
      <c r="J260" s="12"/>
      <c r="K260" s="12"/>
      <c r="L260" s="12"/>
      <c r="M260" s="12"/>
      <c r="N260" s="40"/>
      <c r="Q260" s="0"/>
      <c r="R260" s="0"/>
    </row>
    <row r="261" customFormat="false" ht="13.8" hidden="false" customHeight="false" outlineLevel="0" collapsed="false">
      <c r="D261" s="41"/>
      <c r="E261" s="12"/>
      <c r="F261" s="12"/>
      <c r="G261" s="12"/>
      <c r="H261" s="12"/>
      <c r="I261" s="12"/>
      <c r="J261" s="12"/>
      <c r="K261" s="12"/>
      <c r="L261" s="12"/>
      <c r="M261" s="12"/>
      <c r="N261" s="40"/>
      <c r="Q261" s="0"/>
      <c r="R261" s="0"/>
    </row>
    <row r="262" customFormat="false" ht="13.8" hidden="false" customHeight="false" outlineLevel="0" collapsed="false">
      <c r="D262" s="41"/>
      <c r="E262" s="12" t="s">
        <v>185</v>
      </c>
      <c r="F262" s="12" t="n">
        <f aca="false">AND(G35="ON", I30="HS")</f>
        <v>0</v>
      </c>
      <c r="G262" s="12"/>
      <c r="H262" s="12" t="s">
        <v>186</v>
      </c>
      <c r="I262" s="12"/>
      <c r="J262" s="12"/>
      <c r="K262" s="12"/>
      <c r="L262" s="12"/>
      <c r="M262" s="12"/>
      <c r="N262" s="40"/>
      <c r="Q262" s="0"/>
      <c r="R262" s="0"/>
    </row>
    <row r="263" customFormat="false" ht="13.8" hidden="false" customHeight="false" outlineLevel="0" collapsed="false">
      <c r="D263" s="41"/>
      <c r="E263" s="12"/>
      <c r="F263" s="12"/>
      <c r="G263" s="12"/>
      <c r="H263" s="12"/>
      <c r="I263" s="12" t="s">
        <v>432</v>
      </c>
      <c r="J263" s="12"/>
      <c r="K263" s="12"/>
      <c r="L263" s="12"/>
      <c r="M263" s="12"/>
      <c r="N263" s="40"/>
      <c r="Q263" s="0"/>
      <c r="R263" s="0"/>
    </row>
    <row r="264" customFormat="false" ht="13.8" hidden="false" customHeight="false" outlineLevel="0" collapsed="false">
      <c r="D264" s="41"/>
      <c r="E264" s="12" t="s">
        <v>433</v>
      </c>
      <c r="F264" s="12" t="n">
        <f aca="false">IF(OR($M$19&lt;K120,$M$19&gt;L120),1,0)</f>
        <v>1</v>
      </c>
      <c r="G264" s="12" t="n">
        <f aca="false">IF($O$23=I264,1,0)</f>
        <v>0</v>
      </c>
      <c r="H264" s="12" t="n">
        <f aca="false">IF(AND(F264,G264),1,0)</f>
        <v>0</v>
      </c>
      <c r="I264" s="12" t="s">
        <v>290</v>
      </c>
      <c r="J264" s="12"/>
      <c r="K264" s="12"/>
      <c r="L264" s="12"/>
      <c r="M264" s="12"/>
      <c r="N264" s="40"/>
      <c r="Q264" s="0"/>
      <c r="R264" s="0"/>
    </row>
    <row r="265" customFormat="false" ht="13.8" hidden="false" customHeight="false" outlineLevel="0" collapsed="false">
      <c r="D265" s="41"/>
      <c r="E265" s="12" t="s">
        <v>433</v>
      </c>
      <c r="F265" s="12" t="n">
        <f aca="false">IF(OR($M$19&lt;K121,$M$19&gt;L121),1,0)</f>
        <v>1</v>
      </c>
      <c r="G265" s="12" t="n">
        <f aca="false">IF($O$23=I265,1,0)</f>
        <v>0</v>
      </c>
      <c r="H265" s="12" t="n">
        <f aca="false">IF(AND(F265,G265),1,0)</f>
        <v>0</v>
      </c>
      <c r="I265" s="12" t="s">
        <v>292</v>
      </c>
      <c r="J265" s="12"/>
      <c r="K265" s="12"/>
      <c r="L265" s="12"/>
      <c r="M265" s="12"/>
      <c r="N265" s="40"/>
      <c r="Q265" s="0"/>
      <c r="R265" s="0"/>
    </row>
    <row r="266" customFormat="false" ht="13.8" hidden="false" customHeight="false" outlineLevel="0" collapsed="false">
      <c r="D266" s="41"/>
      <c r="E266" s="12" t="s">
        <v>433</v>
      </c>
      <c r="F266" s="12" t="n">
        <f aca="false">IF(OR($M$19&lt;K122,$M$19&gt;L122),1,0)</f>
        <v>1</v>
      </c>
      <c r="G266" s="12" t="n">
        <f aca="false">IF($O$23=I266,1,0)</f>
        <v>0</v>
      </c>
      <c r="H266" s="12" t="n">
        <f aca="false">IF(AND(F266,G266),1,0)</f>
        <v>0</v>
      </c>
      <c r="I266" s="12" t="s">
        <v>294</v>
      </c>
      <c r="J266" s="12"/>
      <c r="K266" s="12"/>
      <c r="L266" s="12"/>
      <c r="M266" s="12"/>
      <c r="N266" s="40"/>
      <c r="Q266" s="0"/>
      <c r="R266" s="0"/>
    </row>
    <row r="267" customFormat="false" ht="13.8" hidden="false" customHeight="false" outlineLevel="0" collapsed="false">
      <c r="D267" s="41"/>
      <c r="E267" s="12" t="s">
        <v>433</v>
      </c>
      <c r="F267" s="12" t="n">
        <f aca="false">IF(OR($M$19&lt;K123,$M$19&gt;L123),1,0)</f>
        <v>0</v>
      </c>
      <c r="G267" s="12" t="n">
        <f aca="false">IF($O$23=I267,1,0)</f>
        <v>0</v>
      </c>
      <c r="H267" s="12" t="n">
        <f aca="false">IF(AND(F267,G267),1,0)</f>
        <v>0</v>
      </c>
      <c r="I267" s="12" t="s">
        <v>296</v>
      </c>
      <c r="J267" s="12"/>
      <c r="K267" s="12"/>
      <c r="L267" s="12"/>
      <c r="M267" s="12"/>
      <c r="N267" s="40"/>
      <c r="Q267" s="0"/>
      <c r="R267" s="0"/>
    </row>
    <row r="268" customFormat="false" ht="13.8" hidden="false" customHeight="false" outlineLevel="0" collapsed="false">
      <c r="D268" s="41"/>
      <c r="E268" s="12" t="s">
        <v>433</v>
      </c>
      <c r="F268" s="12" t="n">
        <f aca="false">IF(OR($M$19&lt;K124,$M$19&gt;L124),1,0)</f>
        <v>0</v>
      </c>
      <c r="G268" s="12" t="n">
        <f aca="false">IF($O$23=I268,1,0)</f>
        <v>1</v>
      </c>
      <c r="H268" s="12" t="n">
        <f aca="false">IF(AND(F268,G268),1,0)</f>
        <v>0</v>
      </c>
      <c r="I268" s="12" t="s">
        <v>246</v>
      </c>
      <c r="J268" s="12"/>
      <c r="K268" s="12"/>
      <c r="L268" s="12"/>
      <c r="M268" s="12"/>
      <c r="N268" s="40"/>
      <c r="Q268" s="0"/>
      <c r="R268" s="0"/>
    </row>
    <row r="269" customFormat="false" ht="13.8" hidden="false" customHeight="false" outlineLevel="0" collapsed="false">
      <c r="D269" s="41"/>
      <c r="E269" s="12" t="s">
        <v>433</v>
      </c>
      <c r="F269" s="12"/>
      <c r="G269" s="12"/>
      <c r="H269" s="12" t="n">
        <v>0</v>
      </c>
      <c r="I269" s="12" t="s">
        <v>299</v>
      </c>
      <c r="J269" s="12"/>
      <c r="K269" s="12"/>
      <c r="L269" s="12"/>
      <c r="M269" s="12"/>
      <c r="N269" s="40"/>
      <c r="Q269" s="0"/>
      <c r="R269" s="0"/>
    </row>
    <row r="270" customFormat="false" ht="13.8" hidden="false" customHeight="false" outlineLevel="0" collapsed="false">
      <c r="D270" s="41"/>
      <c r="E270" s="12" t="s">
        <v>433</v>
      </c>
      <c r="F270" s="12"/>
      <c r="G270" s="12"/>
      <c r="H270" s="12" t="n">
        <f aca="false">SUM(H264:H269)</f>
        <v>0</v>
      </c>
      <c r="I270" s="12" t="s">
        <v>192</v>
      </c>
      <c r="J270" s="12"/>
      <c r="K270" s="12"/>
      <c r="L270" s="12"/>
      <c r="M270" s="12"/>
      <c r="N270" s="40"/>
      <c r="Q270" s="0"/>
      <c r="R270" s="0"/>
    </row>
    <row r="271" customFormat="false" ht="13.8" hidden="false" customHeight="false" outlineLevel="0" collapsed="false">
      <c r="D271" s="41"/>
      <c r="E271" s="12"/>
      <c r="F271" s="12"/>
      <c r="G271" s="12"/>
      <c r="H271" s="12"/>
      <c r="I271" s="12"/>
      <c r="J271" s="12"/>
      <c r="K271" s="12"/>
      <c r="L271" s="12"/>
      <c r="M271" s="12"/>
      <c r="N271" s="40"/>
      <c r="Q271" s="0"/>
      <c r="R271" s="0"/>
    </row>
    <row r="272" customFormat="false" ht="13.8" hidden="false" customHeight="false" outlineLevel="0" collapsed="false">
      <c r="D272" s="41"/>
      <c r="E272" s="12" t="s">
        <v>434</v>
      </c>
      <c r="F272" s="12" t="n">
        <f aca="false">IF(OR(P19&lt;G249,P19&gt;H249),1,0)</f>
        <v>0</v>
      </c>
      <c r="G272" s="12" t="n">
        <f aca="false">IF($O$23="Bypass",0,1)</f>
        <v>1</v>
      </c>
      <c r="H272" s="12" t="n">
        <f aca="false">AND(F272,G272)</f>
        <v>0</v>
      </c>
      <c r="I272" s="12" t="s">
        <v>435</v>
      </c>
      <c r="J272" s="12"/>
      <c r="K272" s="12"/>
      <c r="L272" s="12"/>
      <c r="M272" s="12"/>
      <c r="N272" s="40"/>
      <c r="Q272" s="0"/>
      <c r="R272" s="0"/>
    </row>
    <row r="273" customFormat="false" ht="13.8" hidden="false" customHeight="false" outlineLevel="0" collapsed="false">
      <c r="D273" s="41"/>
      <c r="E273" s="12"/>
      <c r="F273" s="12"/>
      <c r="G273" s="12"/>
      <c r="H273" s="12"/>
      <c r="I273" s="12"/>
      <c r="J273" s="12"/>
      <c r="K273" s="12"/>
      <c r="L273" s="12"/>
      <c r="M273" s="12"/>
      <c r="N273" s="40"/>
      <c r="Q273" s="0"/>
      <c r="R273" s="0"/>
    </row>
    <row r="274" customFormat="false" ht="13.8" hidden="false" customHeight="false" outlineLevel="0" collapsed="false">
      <c r="D274" s="41"/>
      <c r="E274" s="12" t="s">
        <v>436</v>
      </c>
      <c r="F274" s="12" t="n">
        <f aca="false">IF(OR(U18&lt;G250,U18&gt;H250),1,0)</f>
        <v>0</v>
      </c>
      <c r="G274" s="12" t="n">
        <f aca="false">IF($O$23="Bypass",0,1)</f>
        <v>1</v>
      </c>
      <c r="H274" s="12" t="n">
        <f aca="false">AND(F274,G274)</f>
        <v>0</v>
      </c>
      <c r="I274" s="12" t="s">
        <v>437</v>
      </c>
      <c r="J274" s="12"/>
      <c r="K274" s="12"/>
      <c r="L274" s="12"/>
      <c r="M274" s="12"/>
      <c r="N274" s="40"/>
      <c r="Q274" s="0"/>
      <c r="R274" s="0"/>
    </row>
    <row r="275" customFormat="false" ht="13.8" hidden="false" customHeight="false" outlineLevel="0" collapsed="false">
      <c r="D275" s="41"/>
      <c r="E275" s="12"/>
      <c r="F275" s="12"/>
      <c r="G275" s="12"/>
      <c r="H275" s="12"/>
      <c r="I275" s="12"/>
      <c r="J275" s="12"/>
      <c r="K275" s="12"/>
      <c r="L275" s="12"/>
      <c r="M275" s="12"/>
      <c r="N275" s="40"/>
      <c r="Q275" s="0"/>
      <c r="R275" s="0"/>
    </row>
    <row r="276" customFormat="false" ht="13.8" hidden="false" customHeight="false" outlineLevel="0" collapsed="false">
      <c r="D276" s="41"/>
      <c r="E276" s="12" t="s">
        <v>187</v>
      </c>
      <c r="F276" s="12" t="n">
        <f aca="false">IF(R49&gt;H243,1,0)</f>
        <v>0</v>
      </c>
      <c r="G276" s="12"/>
      <c r="H276" s="12" t="s">
        <v>438</v>
      </c>
      <c r="I276" s="12"/>
      <c r="J276" s="12"/>
      <c r="K276" s="12"/>
      <c r="L276" s="12"/>
      <c r="M276" s="12"/>
      <c r="N276" s="40"/>
      <c r="Q276" s="0"/>
      <c r="R276" s="0"/>
    </row>
    <row r="277" customFormat="false" ht="13.8" hidden="false" customHeight="false" outlineLevel="0" collapsed="false">
      <c r="D277" s="41"/>
      <c r="E277" s="12"/>
      <c r="F277" s="12"/>
      <c r="G277" s="12"/>
      <c r="H277" s="12"/>
      <c r="I277" s="12"/>
      <c r="J277" s="12"/>
      <c r="K277" s="12"/>
      <c r="L277" s="12"/>
      <c r="M277" s="12"/>
      <c r="N277" s="40"/>
      <c r="Q277" s="0"/>
      <c r="R277" s="0"/>
    </row>
    <row r="278" customFormat="false" ht="13.8" hidden="false" customHeight="false" outlineLevel="0" collapsed="false">
      <c r="D278" s="41"/>
      <c r="E278" s="12" t="s">
        <v>439</v>
      </c>
      <c r="F278" s="1" t="n">
        <f aca="false">IF(V28&gt;$H$244,1,0)</f>
        <v>0</v>
      </c>
      <c r="G278" s="12"/>
      <c r="H278" s="12" t="s">
        <v>440</v>
      </c>
      <c r="I278" s="12"/>
      <c r="J278" s="12"/>
      <c r="K278" s="12"/>
      <c r="L278" s="12"/>
      <c r="M278" s="12"/>
      <c r="N278" s="40"/>
      <c r="Q278" s="0"/>
      <c r="R278" s="0"/>
    </row>
    <row r="279" customFormat="false" ht="13.8" hidden="false" customHeight="false" outlineLevel="0" collapsed="false">
      <c r="D279" s="41"/>
      <c r="E279" s="12" t="s">
        <v>441</v>
      </c>
      <c r="F279" s="1" t="n">
        <f aca="false">IF(V31&gt;$H$244,1,0)</f>
        <v>0</v>
      </c>
      <c r="G279" s="12"/>
      <c r="H279" s="12" t="s">
        <v>442</v>
      </c>
      <c r="I279" s="12"/>
      <c r="J279" s="12"/>
      <c r="K279" s="12"/>
      <c r="L279" s="12"/>
      <c r="M279" s="12"/>
      <c r="N279" s="40"/>
      <c r="Q279" s="0"/>
      <c r="R279" s="0"/>
    </row>
    <row r="280" customFormat="false" ht="13.8" hidden="false" customHeight="false" outlineLevel="0" collapsed="false">
      <c r="D280" s="41"/>
      <c r="E280" s="12" t="s">
        <v>443</v>
      </c>
      <c r="F280" s="1" t="n">
        <f aca="false">IF(V34&gt;$H$244,1,0)</f>
        <v>0</v>
      </c>
      <c r="G280" s="12"/>
      <c r="H280" s="12" t="s">
        <v>444</v>
      </c>
      <c r="I280" s="12"/>
      <c r="J280" s="12"/>
      <c r="K280" s="12"/>
      <c r="L280" s="12"/>
      <c r="M280" s="12"/>
      <c r="N280" s="40"/>
      <c r="Q280" s="0"/>
      <c r="R280" s="0"/>
    </row>
    <row r="281" customFormat="false" ht="13.8" hidden="false" customHeight="false" outlineLevel="0" collapsed="false">
      <c r="D281" s="41"/>
      <c r="E281" s="12" t="s">
        <v>445</v>
      </c>
      <c r="F281" s="1" t="n">
        <f aca="false">IF(V37&gt;$H$244,1,0)</f>
        <v>0</v>
      </c>
      <c r="G281" s="12"/>
      <c r="H281" s="12" t="s">
        <v>446</v>
      </c>
      <c r="I281" s="12"/>
      <c r="J281" s="12"/>
      <c r="K281" s="12"/>
      <c r="L281" s="12"/>
      <c r="M281" s="12"/>
      <c r="N281" s="40"/>
      <c r="Q281" s="0"/>
      <c r="R281" s="0"/>
    </row>
    <row r="282" customFormat="false" ht="13.8" hidden="false" customHeight="false" outlineLevel="0" collapsed="false">
      <c r="D282" s="41"/>
      <c r="E282" s="12" t="s">
        <v>447</v>
      </c>
      <c r="F282" s="1" t="n">
        <f aca="false">IF(V40&gt;$H$244,1,0)</f>
        <v>0</v>
      </c>
      <c r="G282" s="12"/>
      <c r="H282" s="12" t="s">
        <v>448</v>
      </c>
      <c r="I282" s="12"/>
      <c r="J282" s="12"/>
      <c r="K282" s="12"/>
      <c r="L282" s="12"/>
      <c r="M282" s="12"/>
      <c r="N282" s="40"/>
      <c r="Q282" s="12"/>
      <c r="R282" s="12"/>
    </row>
    <row r="283" customFormat="false" ht="13.8" hidden="false" customHeight="false" outlineLevel="0" collapsed="false">
      <c r="D283" s="41"/>
      <c r="E283" s="12" t="s">
        <v>449</v>
      </c>
      <c r="F283" s="1" t="n">
        <f aca="false">IF(V43&gt;$H$245,1,0)</f>
        <v>0</v>
      </c>
      <c r="G283" s="12"/>
      <c r="H283" s="12" t="s">
        <v>450</v>
      </c>
      <c r="I283" s="12"/>
      <c r="J283" s="12"/>
      <c r="K283" s="12"/>
      <c r="L283" s="12"/>
      <c r="M283" s="12"/>
      <c r="N283" s="40"/>
    </row>
    <row r="284" customFormat="false" ht="13.8" hidden="false" customHeight="false" outlineLevel="0" collapsed="false">
      <c r="D284" s="41"/>
      <c r="E284" s="12" t="s">
        <v>451</v>
      </c>
      <c r="F284" s="1" t="n">
        <f aca="false">IF(V46&gt;$H$244,1,0)</f>
        <v>0</v>
      </c>
      <c r="G284" s="12"/>
      <c r="H284" s="12" t="s">
        <v>452</v>
      </c>
      <c r="I284" s="12"/>
      <c r="J284" s="12"/>
      <c r="K284" s="12"/>
      <c r="L284" s="12"/>
      <c r="M284" s="12"/>
      <c r="N284" s="40"/>
    </row>
    <row r="285" customFormat="false" ht="13.8" hidden="false" customHeight="false" outlineLevel="0" collapsed="false">
      <c r="D285" s="41"/>
      <c r="E285" s="12"/>
      <c r="F285" s="0"/>
      <c r="G285" s="12"/>
      <c r="H285" s="12"/>
      <c r="I285" s="12"/>
      <c r="J285" s="12"/>
      <c r="K285" s="12"/>
      <c r="L285" s="12"/>
      <c r="M285" s="12"/>
      <c r="N285" s="40"/>
    </row>
    <row r="286" customFormat="false" ht="13.8" hidden="false" customHeight="false" outlineLevel="0" collapsed="false">
      <c r="D286" s="41"/>
      <c r="E286" s="12" t="s">
        <v>206</v>
      </c>
      <c r="F286" s="1" t="n">
        <f aca="false">IF($E$46&lt;32,1,0)</f>
        <v>0</v>
      </c>
      <c r="G286" s="12"/>
      <c r="H286" s="12" t="s">
        <v>207</v>
      </c>
      <c r="I286" s="12"/>
      <c r="J286" s="12"/>
      <c r="K286" s="12"/>
      <c r="L286" s="12"/>
      <c r="M286" s="12"/>
      <c r="N286" s="40"/>
    </row>
    <row r="287" customFormat="false" ht="13.8" hidden="false" customHeight="false" outlineLevel="0" collapsed="false">
      <c r="D287" s="41"/>
      <c r="E287" s="12" t="s">
        <v>206</v>
      </c>
      <c r="F287" s="1" t="n">
        <f aca="false">IF($E$46&gt;100,1,0)</f>
        <v>0</v>
      </c>
      <c r="G287" s="12"/>
      <c r="H287" s="12" t="s">
        <v>208</v>
      </c>
      <c r="I287" s="12"/>
      <c r="J287" s="12"/>
      <c r="K287" s="12"/>
      <c r="L287" s="12"/>
      <c r="M287" s="12"/>
      <c r="N287" s="40"/>
    </row>
    <row r="288" customFormat="false" ht="13.8" hidden="false" customHeight="false" outlineLevel="0" collapsed="false">
      <c r="D288" s="41"/>
      <c r="E288" s="12" t="s">
        <v>206</v>
      </c>
      <c r="F288" s="1" t="n">
        <f aca="false">SUM(F286:F287)</f>
        <v>0</v>
      </c>
      <c r="G288" s="12"/>
      <c r="H288" s="12" t="s">
        <v>209</v>
      </c>
      <c r="I288" s="12"/>
      <c r="J288" s="12"/>
      <c r="K288" s="12"/>
      <c r="L288" s="12"/>
      <c r="M288" s="12"/>
      <c r="N288" s="40"/>
    </row>
    <row r="289" customFormat="false" ht="14.4" hidden="false" customHeight="false" outlineLevel="0" collapsed="false">
      <c r="D289" s="37"/>
      <c r="E289" s="38"/>
      <c r="F289" s="38"/>
      <c r="G289" s="38"/>
      <c r="H289" s="38"/>
      <c r="I289" s="38"/>
      <c r="J289" s="38"/>
      <c r="K289" s="38"/>
      <c r="L289" s="38"/>
      <c r="M289" s="38"/>
      <c r="N289" s="39"/>
    </row>
  </sheetData>
  <sheetProtection sheet="true" password="e325" objects="true" scenarios="true"/>
  <protectedRanges>
    <protectedRange name="Range26" sqref="O79:S79"/>
    <protectedRange name="Range21" sqref="I51"/>
    <protectedRange name="Range20" sqref="E46"/>
    <protectedRange name="Range19" sqref="S45"/>
    <protectedRange name="Range18" sqref="S42"/>
    <protectedRange name="Range17" sqref="S39"/>
    <protectedRange name="Range16" sqref="S36"/>
    <protectedRange name="Range15" sqref="S33"/>
    <protectedRange name="Range14" sqref="S30"/>
    <protectedRange name="Range13" sqref="S27"/>
    <protectedRange name="Range8" sqref="O23:Q23"/>
    <protectedRange name="Range6" sqref="E22"/>
    <protectedRange name="Range5" sqref="R16"/>
    <protectedRange name="Range4" sqref="O16"/>
    <protectedRange name="Range3" sqref="L16"/>
    <protectedRange name="Range1" sqref="I10:J10"/>
    <protectedRange name="Range2" sqref="I16"/>
    <protectedRange name="Range7" sqref="E23"/>
    <protectedRange name="Range9" sqref="I30"/>
    <protectedRange name="Range10" sqref="G35"/>
    <protectedRange name="Range11" sqref="M28"/>
    <protectedRange name="Range12" sqref="M35"/>
    <protectedRange name="Range22" sqref="O54"/>
    <protectedRange name="Range23" sqref="Q65"/>
    <protectedRange name="Range24" sqref="Q66"/>
    <protectedRange name="Range25" sqref="M75"/>
  </protectedRanges>
  <mergeCells count="4">
    <mergeCell ref="I10:J10"/>
    <mergeCell ref="O23:Q23"/>
    <mergeCell ref="M28:N28"/>
    <mergeCell ref="O79:S79"/>
  </mergeCells>
  <conditionalFormatting sqref="F25">
    <cfRule type="expression" priority="2" aboveAverage="0" equalAverage="0" bottom="0" percent="0" rank="0" text="" dxfId="0">
      <formula>$F$260</formula>
    </cfRule>
  </conditionalFormatting>
  <conditionalFormatting sqref="E31">
    <cfRule type="expression" priority="3" aboveAverage="0" equalAverage="0" bottom="0" percent="0" rank="0" text="" dxfId="1">
      <formula>$F$262</formula>
    </cfRule>
  </conditionalFormatting>
  <conditionalFormatting sqref="M19">
    <cfRule type="expression" priority="4" aboveAverage="0" equalAverage="0" bottom="0" percent="0" rank="0" text="" dxfId="2">
      <formula>$H$270</formula>
    </cfRule>
  </conditionalFormatting>
  <conditionalFormatting sqref="F272;F274:F277">
    <cfRule type="expression" priority="5" aboveAverage="0" equalAverage="0" bottom="0" percent="0" rank="0" text="" dxfId="3">
      <formula>#ref!</formula>
    </cfRule>
  </conditionalFormatting>
  <conditionalFormatting sqref="P19">
    <cfRule type="expression" priority="6" aboveAverage="0" equalAverage="0" bottom="0" percent="0" rank="0" text="" dxfId="4">
      <formula>$H$272</formula>
    </cfRule>
  </conditionalFormatting>
  <conditionalFormatting sqref="U18">
    <cfRule type="expression" priority="7" aboveAverage="0" equalAverage="0" bottom="0" percent="0" rank="0" text="" dxfId="5">
      <formula>$H$274</formula>
    </cfRule>
  </conditionalFormatting>
  <conditionalFormatting sqref="V28">
    <cfRule type="expression" priority="8" aboveAverage="0" equalAverage="0" bottom="0" percent="0" rank="0" text="" dxfId="6">
      <formula>$F$278</formula>
    </cfRule>
  </conditionalFormatting>
  <conditionalFormatting sqref="V31">
    <cfRule type="expression" priority="9" aboveAverage="0" equalAverage="0" bottom="0" percent="0" rank="0" text="" dxfId="7">
      <formula>$F$279</formula>
    </cfRule>
  </conditionalFormatting>
  <conditionalFormatting sqref="V34">
    <cfRule type="expression" priority="10" aboveAverage="0" equalAverage="0" bottom="0" percent="0" rank="0" text="" dxfId="8">
      <formula>$F$280</formula>
    </cfRule>
  </conditionalFormatting>
  <conditionalFormatting sqref="V37">
    <cfRule type="expression" priority="11" aboveAverage="0" equalAverage="0" bottom="0" percent="0" rank="0" text="" dxfId="9">
      <formula>$F$281</formula>
    </cfRule>
  </conditionalFormatting>
  <conditionalFormatting sqref="V40">
    <cfRule type="expression" priority="12" aboveAverage="0" equalAverage="0" bottom="0" percent="0" rank="0" text="" dxfId="10">
      <formula>$F$282</formula>
    </cfRule>
  </conditionalFormatting>
  <conditionalFormatting sqref="V43">
    <cfRule type="expression" priority="13" aboveAverage="0" equalAverage="0" bottom="0" percent="0" rank="0" text="" dxfId="11">
      <formula>$F$283</formula>
    </cfRule>
  </conditionalFormatting>
  <conditionalFormatting sqref="V46">
    <cfRule type="expression" priority="14" aboveAverage="0" equalAverage="0" bottom="0" percent="0" rank="0" text="" dxfId="12">
      <formula>$F$284</formula>
    </cfRule>
  </conditionalFormatting>
  <conditionalFormatting sqref="R49">
    <cfRule type="expression" priority="15" aboveAverage="0" equalAverage="0" bottom="0" percent="0" rank="0" text="" dxfId="13">
      <formula>$F$276</formula>
    </cfRule>
  </conditionalFormatting>
  <conditionalFormatting sqref="W68">
    <cfRule type="expression" priority="16" aboveAverage="0" equalAverage="0" bottom="0" percent="0" rank="0" text="" dxfId="14">
      <formula>$W$68&gt;$H$246</formula>
    </cfRule>
  </conditionalFormatting>
  <conditionalFormatting sqref="E22">
    <cfRule type="expression" priority="17" aboveAverage="0" equalAverage="0" bottom="0" percent="0" rank="0" text="" dxfId="15">
      <formula>$Q$240</formula>
    </cfRule>
  </conditionalFormatting>
  <conditionalFormatting sqref="E23">
    <cfRule type="expression" priority="18" aboveAverage="0" equalAverage="0" bottom="0" percent="0" rank="0" text="" dxfId="16">
      <formula>$S$241</formula>
    </cfRule>
  </conditionalFormatting>
  <conditionalFormatting sqref="W68">
    <cfRule type="expression" priority="19" aboveAverage="0" equalAverage="0" bottom="0" percent="0" rank="0" text="" dxfId="17">
      <formula>$W$68&gt;$H$246</formula>
    </cfRule>
  </conditionalFormatting>
  <conditionalFormatting sqref="E46">
    <cfRule type="expression" priority="20" aboveAverage="0" equalAverage="0" bottom="0" percent="0" rank="0" text="" dxfId="18">
      <formula>$F$288</formula>
    </cfRule>
  </conditionalFormatting>
  <dataValidations count="14">
    <dataValidation allowBlank="true" operator="between" showDropDown="false" showErrorMessage="true" showInputMessage="true" sqref="S27 S30 S33 S36 S39 S42 S45" type="list">
      <formula1>$D$89:$D$216</formula1>
      <formula2>0</formula2>
    </dataValidation>
    <dataValidation allowBlank="true" operator="between" showDropDown="false" showErrorMessage="true" showInputMessage="true" sqref="O54" type="list">
      <formula1>$I$112:$I$117</formula1>
      <formula2>0</formula2>
    </dataValidation>
    <dataValidation allowBlank="true" operator="between" showDropDown="false" showErrorMessage="true" showInputMessage="true" sqref="I51" type="list">
      <formula1>$I$133:$I$134</formula1>
      <formula2>0</formula2>
    </dataValidation>
    <dataValidation allowBlank="true" operator="between" showDropDown="false" showErrorMessage="true" showInputMessage="true" sqref="M28" type="list">
      <formula1>$I$130:$I$131</formula1>
      <formula2>0</formula2>
    </dataValidation>
    <dataValidation allowBlank="true" operator="between" showDropDown="false" showErrorMessage="true" showInputMessage="true" sqref="M35" type="list">
      <formula1>$I$127:$I$128</formula1>
      <formula2>0</formula2>
    </dataValidation>
    <dataValidation allowBlank="true" operator="between" showDropDown="false" showErrorMessage="true" showInputMessage="true" sqref="I10" type="list">
      <formula1>$O$118:$O$125</formula1>
      <formula2>0</formula2>
    </dataValidation>
    <dataValidation allowBlank="true" operator="between" showDropDown="false" showErrorMessage="true" showInputMessage="true" sqref="I30" type="list">
      <formula1>$I$88:$I$90</formula1>
      <formula2>0</formula2>
    </dataValidation>
    <dataValidation allowBlank="true" operator="between" showDropDown="false" showErrorMessage="true" showInputMessage="true" sqref="I16" type="list">
      <formula1>$I$92:$I$93</formula1>
      <formula2>0</formula2>
    </dataValidation>
    <dataValidation allowBlank="true" operator="between" showDropDown="false" showErrorMessage="true" showInputMessage="true" sqref="L16" type="list">
      <formula1>$I$95:$I$102</formula1>
      <formula2>0</formula2>
    </dataValidation>
    <dataValidation allowBlank="true" operator="between" showDropDown="false" showErrorMessage="true" showInputMessage="true" sqref="O16" type="list">
      <formula1>$E$89:$E$216</formula1>
      <formula2>0</formula2>
    </dataValidation>
    <dataValidation allowBlank="true" operator="between" showDropDown="false" showErrorMessage="true" showInputMessage="true" sqref="R16" type="list">
      <formula1>$I$105:$I$109</formula1>
      <formula2>0</formula2>
    </dataValidation>
    <dataValidation allowBlank="true" operator="between" showDropDown="false" showErrorMessage="true" showInputMessage="true" sqref="O23" type="list">
      <formula1>$I$120:$I$125</formula1>
      <formula2>0</formula2>
    </dataValidation>
    <dataValidation allowBlank="true" operator="between" showDropDown="false" showErrorMessage="true" showInputMessage="true" sqref="G35" type="list">
      <formula1>$I$136:$I$137</formula1>
      <formula2>0</formula2>
    </dataValidation>
    <dataValidation allowBlank="true" operator="between" showDropDown="false" showErrorMessage="true" showInputMessage="true" sqref="O79:S79" type="list">
      <formula1>$O$201:$O$209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7" activeCellId="0" sqref="K27"/>
    </sheetView>
  </sheetViews>
  <sheetFormatPr defaultRowHeight="14.4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H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7" activeCellId="0" sqref="C27"/>
    </sheetView>
  </sheetViews>
  <sheetFormatPr defaultRowHeight="14.4"/>
  <cols>
    <col collapsed="false" hidden="false" max="1" min="1" style="0" width="10.6632653061225"/>
    <col collapsed="false" hidden="false" max="2" min="2" style="0" width="16.3316326530612"/>
    <col collapsed="false" hidden="false" max="3" min="3" style="0" width="16.4438775510204"/>
    <col collapsed="false" hidden="false" max="4" min="4" style="0" width="21.780612244898"/>
    <col collapsed="false" hidden="false" max="5" min="5" style="48" width="13.1020408163265"/>
    <col collapsed="false" hidden="false" max="6" min="6" style="0" width="8.89285714285714"/>
    <col collapsed="false" hidden="false" max="7" min="7" style="0" width="26.6632653061224"/>
    <col collapsed="false" hidden="false" max="9" min="8" style="0" width="9.66326530612245"/>
    <col collapsed="false" hidden="false" max="10" min="10" style="0" width="11.6632653061225"/>
    <col collapsed="false" hidden="false" max="12" min="11" style="0" width="8.6734693877551"/>
    <col collapsed="false" hidden="false" max="13" min="13" style="0" width="10.4489795918367"/>
    <col collapsed="false" hidden="false" max="14" min="14" style="0" width="8.6734693877551"/>
    <col collapsed="false" hidden="false" max="15" min="15" style="0" width="12.3316326530612"/>
    <col collapsed="false" hidden="false" max="16" min="16" style="0" width="11.5561224489796"/>
    <col collapsed="false" hidden="false" max="17" min="17" style="0" width="11.6632653061225"/>
    <col collapsed="false" hidden="false" max="256" min="18" style="0" width="8.6734693877551"/>
    <col collapsed="false" hidden="false" max="257" min="257" style="0" width="4.10204081632653"/>
    <col collapsed="false" hidden="false" max="260" min="258" style="0" width="8.6734693877551"/>
    <col collapsed="false" hidden="false" max="261" min="261" style="0" width="13.1020408163265"/>
    <col collapsed="false" hidden="false" max="262" min="262" style="0" width="8.89285714285714"/>
    <col collapsed="false" hidden="false" max="263" min="263" style="0" width="26.6632653061224"/>
    <col collapsed="false" hidden="false" max="265" min="264" style="0" width="9.66326530612245"/>
    <col collapsed="false" hidden="false" max="266" min="266" style="0" width="11.6632653061225"/>
    <col collapsed="false" hidden="false" max="268" min="267" style="0" width="8.6734693877551"/>
    <col collapsed="false" hidden="false" max="269" min="269" style="0" width="10.4489795918367"/>
    <col collapsed="false" hidden="false" max="270" min="270" style="0" width="8.6734693877551"/>
    <col collapsed="false" hidden="false" max="271" min="271" style="0" width="12.3316326530612"/>
    <col collapsed="false" hidden="false" max="272" min="272" style="0" width="11.5561224489796"/>
    <col collapsed="false" hidden="false" max="273" min="273" style="0" width="11.6632653061225"/>
    <col collapsed="false" hidden="false" max="512" min="274" style="0" width="8.6734693877551"/>
    <col collapsed="false" hidden="false" max="513" min="513" style="0" width="4.10204081632653"/>
    <col collapsed="false" hidden="false" max="516" min="514" style="0" width="8.6734693877551"/>
    <col collapsed="false" hidden="false" max="517" min="517" style="0" width="13.1020408163265"/>
    <col collapsed="false" hidden="false" max="518" min="518" style="0" width="8.89285714285714"/>
    <col collapsed="false" hidden="false" max="519" min="519" style="0" width="26.6632653061224"/>
    <col collapsed="false" hidden="false" max="521" min="520" style="0" width="9.66326530612245"/>
    <col collapsed="false" hidden="false" max="522" min="522" style="0" width="11.6632653061225"/>
    <col collapsed="false" hidden="false" max="524" min="523" style="0" width="8.6734693877551"/>
    <col collapsed="false" hidden="false" max="525" min="525" style="0" width="10.4489795918367"/>
    <col collapsed="false" hidden="false" max="526" min="526" style="0" width="8.6734693877551"/>
    <col collapsed="false" hidden="false" max="527" min="527" style="0" width="12.3316326530612"/>
    <col collapsed="false" hidden="false" max="528" min="528" style="0" width="11.5561224489796"/>
    <col collapsed="false" hidden="false" max="529" min="529" style="0" width="11.6632653061225"/>
    <col collapsed="false" hidden="false" max="768" min="530" style="0" width="8.6734693877551"/>
    <col collapsed="false" hidden="false" max="769" min="769" style="0" width="4.10204081632653"/>
    <col collapsed="false" hidden="false" max="772" min="770" style="0" width="8.6734693877551"/>
    <col collapsed="false" hidden="false" max="773" min="773" style="0" width="13.1020408163265"/>
    <col collapsed="false" hidden="false" max="774" min="774" style="0" width="8.89285714285714"/>
    <col collapsed="false" hidden="false" max="775" min="775" style="0" width="26.6632653061224"/>
    <col collapsed="false" hidden="false" max="777" min="776" style="0" width="9.66326530612245"/>
    <col collapsed="false" hidden="false" max="778" min="778" style="0" width="11.6632653061225"/>
    <col collapsed="false" hidden="false" max="780" min="779" style="0" width="8.6734693877551"/>
    <col collapsed="false" hidden="false" max="781" min="781" style="0" width="10.4489795918367"/>
    <col collapsed="false" hidden="false" max="782" min="782" style="0" width="8.6734693877551"/>
    <col collapsed="false" hidden="false" max="783" min="783" style="0" width="12.3316326530612"/>
    <col collapsed="false" hidden="false" max="784" min="784" style="0" width="11.5561224489796"/>
    <col collapsed="false" hidden="false" max="785" min="785" style="0" width="11.6632653061225"/>
    <col collapsed="false" hidden="false" max="1025" min="786" style="0" width="8.6734693877551"/>
  </cols>
  <sheetData>
    <row r="1" customFormat="false" ht="14.4" hidden="false" customHeight="false" outlineLevel="0" collapsed="false">
      <c r="E1" s="0"/>
      <c r="I1" s="49"/>
    </row>
    <row r="2" customFormat="false" ht="14.4" hidden="false" customHeight="false" outlineLevel="0" collapsed="false">
      <c r="E2" s="0"/>
      <c r="I2" s="49"/>
    </row>
    <row r="3" customFormat="false" ht="14.4" hidden="false" customHeight="false" outlineLevel="0" collapsed="false">
      <c r="B3" s="1" t="s">
        <v>453</v>
      </c>
      <c r="E3" s="0"/>
      <c r="I3" s="49"/>
    </row>
    <row r="4" customFormat="false" ht="14.4" hidden="false" customHeight="false" outlineLevel="0" collapsed="false">
      <c r="E4" s="0"/>
      <c r="I4" s="49"/>
    </row>
    <row r="5" customFormat="false" ht="14.4" hidden="false" customHeight="false" outlineLevel="0" collapsed="false">
      <c r="B5" s="1"/>
      <c r="C5" s="4" t="s">
        <v>37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customFormat="false" ht="14.4" hidden="false" customHeight="false" outlineLevel="0" collapsed="false">
      <c r="B6" s="1"/>
      <c r="C6" s="4" t="s">
        <v>38</v>
      </c>
      <c r="D6" s="1" t="s">
        <v>115</v>
      </c>
      <c r="E6" s="1" t="s">
        <v>454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customFormat="false" ht="14.4" hidden="false" customHeight="false" outlineLevel="0" collapsed="false">
      <c r="B7" s="1"/>
      <c r="C7" s="4" t="s">
        <v>39</v>
      </c>
      <c r="D7" s="1" t="s">
        <v>26</v>
      </c>
      <c r="E7" s="1" t="s">
        <v>455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customFormat="false" ht="14.4" hidden="false" customHeight="false" outlineLevel="0" collapsed="false">
      <c r="B8" s="1"/>
      <c r="C8" s="4" t="s">
        <v>40</v>
      </c>
      <c r="D8" s="1" t="s">
        <v>63</v>
      </c>
      <c r="E8" s="1" t="s">
        <v>456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customFormat="false" ht="14.4" hidden="false" customHeight="false" outlineLevel="0" collapsed="false">
      <c r="B9" s="1"/>
      <c r="C9" s="4" t="s">
        <v>41</v>
      </c>
      <c r="D9" s="1" t="s">
        <v>63</v>
      </c>
      <c r="E9" s="1" t="s">
        <v>457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customFormat="false" ht="14.4" hidden="false" customHeight="false" outlineLevel="0" collapsed="false">
      <c r="B10" s="1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customFormat="false" ht="14.4" hidden="false" customHeight="false" outlineLevel="0" collapsed="false"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customFormat="false" ht="14.4" hidden="false" customHeight="false" outlineLevel="0" collapsed="false">
      <c r="B12" s="1"/>
      <c r="C12" s="4" t="s">
        <v>45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customFormat="false" ht="14.4" hidden="false" customHeight="false" outlineLevel="0" collapsed="false">
      <c r="B13" s="1"/>
      <c r="C13" s="4" t="s">
        <v>49</v>
      </c>
      <c r="D13" s="1" t="s">
        <v>99</v>
      </c>
      <c r="E13" s="1" t="s">
        <v>458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customFormat="false" ht="14.4" hidden="false" customHeight="false" outlineLevel="0" collapsed="false">
      <c r="B14" s="1"/>
      <c r="C14" s="4" t="s">
        <v>252</v>
      </c>
      <c r="D14" s="1" t="s">
        <v>406</v>
      </c>
      <c r="E14" s="1" t="s">
        <v>459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customFormat="false" ht="14.4" hidden="false" customHeight="false" outlineLevel="0" collapsed="false">
      <c r="B15" s="1"/>
      <c r="C15" s="4" t="s">
        <v>251</v>
      </c>
      <c r="D15" s="1" t="s">
        <v>242</v>
      </c>
      <c r="E15" s="1" t="s">
        <v>460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customFormat="false" ht="14.4" hidden="false" customHeight="false" outlineLevel="0" collapsed="false">
      <c r="B16" s="1"/>
      <c r="C16" s="4" t="s">
        <v>253</v>
      </c>
      <c r="D16" s="1" t="s">
        <v>296</v>
      </c>
      <c r="E16" s="1" t="s">
        <v>461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customFormat="false" ht="14.4" hidden="false" customHeight="false" outlineLevel="0" collapsed="false">
      <c r="B17" s="1"/>
      <c r="C17" s="4" t="s">
        <v>46</v>
      </c>
      <c r="D17" s="1" t="s">
        <v>95</v>
      </c>
      <c r="E17" s="1" t="s">
        <v>462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1332</TotalTime>
  <Application>LibreOffice/4.3.5.2$Windows_x86 LibreOffice_project/3a87456aaa6a95c63eea1c1b3201acedf0751bd5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2014-01-15T14:00:47Z</dcterms:created>
  <dc:creator>Robert Smith - C13193</dc:creator>
  <dc:language>de-DE</dc:language>
  <dcterms:modified xsi:type="dcterms:W3CDTF">2015-11-13T20:28:04Z</dcterms:modified>
  <cp:revision>3</cp:revision>
</cp:coreProperties>
</file>