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95" windowHeight="6495"/>
  </bookViews>
  <sheets>
    <sheet name="Sheet1" sheetId="1" r:id="rId1"/>
  </sheets>
  <definedNames>
    <definedName name="_xlnm.Print_Area" localSheetId="0">Sheet1!$A$1:$J$82</definedName>
  </definedNames>
  <calcPr calcId="124519"/>
</workbook>
</file>

<file path=xl/calcChain.xml><?xml version="1.0" encoding="utf-8"?>
<calcChain xmlns="http://schemas.openxmlformats.org/spreadsheetml/2006/main">
  <c r="O31" i="1"/>
  <c r="O30"/>
  <c r="O29"/>
  <c r="O28"/>
  <c r="O27"/>
  <c r="O26"/>
  <c r="O25"/>
  <c r="O24"/>
  <c r="O23"/>
  <c r="O22"/>
  <c r="O21"/>
  <c r="O20"/>
  <c r="O19"/>
  <c r="O18"/>
  <c r="O17"/>
  <c r="O16"/>
  <c r="G13"/>
  <c r="F13"/>
  <c r="C13"/>
  <c r="C14" s="1"/>
  <c r="D13"/>
  <c r="D14" s="1"/>
  <c r="E13"/>
  <c r="H13"/>
  <c r="I13"/>
  <c r="J13"/>
  <c r="C58"/>
  <c r="C15" l="1"/>
  <c r="C44"/>
  <c r="L14"/>
  <c r="L18"/>
  <c r="L22"/>
  <c r="L26"/>
  <c r="L30"/>
  <c r="L34"/>
  <c r="L38"/>
  <c r="L42"/>
  <c r="L46"/>
  <c r="L50"/>
  <c r="L54"/>
  <c r="L59"/>
  <c r="L63"/>
  <c r="L67"/>
  <c r="L71"/>
  <c r="L75"/>
  <c r="L79"/>
  <c r="L83"/>
  <c r="L87"/>
  <c r="L91"/>
  <c r="L95"/>
  <c r="L99"/>
  <c r="L90"/>
  <c r="L98"/>
  <c r="L13"/>
  <c r="L17"/>
  <c r="L21"/>
  <c r="L25"/>
  <c r="L29"/>
  <c r="L33"/>
  <c r="L37"/>
  <c r="L41"/>
  <c r="L45"/>
  <c r="L49"/>
  <c r="L53"/>
  <c r="L57"/>
  <c r="L60"/>
  <c r="L64"/>
  <c r="L68"/>
  <c r="L72"/>
  <c r="L76"/>
  <c r="L80"/>
  <c r="L84"/>
  <c r="L88"/>
  <c r="L96"/>
  <c r="L3"/>
  <c r="L10"/>
  <c r="L8"/>
  <c r="L4"/>
  <c r="L11"/>
  <c r="L6"/>
  <c r="L16"/>
  <c r="L20"/>
  <c r="L24"/>
  <c r="L28"/>
  <c r="L32"/>
  <c r="L36"/>
  <c r="L40"/>
  <c r="L44"/>
  <c r="L48"/>
  <c r="L52"/>
  <c r="L56"/>
  <c r="L61"/>
  <c r="L65"/>
  <c r="L69"/>
  <c r="L73"/>
  <c r="L77"/>
  <c r="L81"/>
  <c r="L85"/>
  <c r="L89"/>
  <c r="L93"/>
  <c r="L97"/>
  <c r="L101"/>
  <c r="L94"/>
  <c r="C6"/>
  <c r="L15"/>
  <c r="L19"/>
  <c r="L23"/>
  <c r="L27"/>
  <c r="L31"/>
  <c r="L35"/>
  <c r="L39"/>
  <c r="L43"/>
  <c r="L47"/>
  <c r="L51"/>
  <c r="L55"/>
  <c r="L58"/>
  <c r="L62"/>
  <c r="L66"/>
  <c r="L70"/>
  <c r="L74"/>
  <c r="L78"/>
  <c r="L82"/>
  <c r="L86"/>
  <c r="L92"/>
  <c r="L100"/>
  <c r="L12"/>
  <c r="L9"/>
  <c r="L5"/>
  <c r="L2"/>
  <c r="L7"/>
  <c r="C41" l="1"/>
  <c r="E15"/>
  <c r="M7"/>
  <c r="M5"/>
  <c r="M92"/>
  <c r="M74"/>
  <c r="M58"/>
  <c r="M43"/>
  <c r="M27"/>
  <c r="M97"/>
  <c r="M81"/>
  <c r="M12"/>
  <c r="M82"/>
  <c r="M66"/>
  <c r="M51"/>
  <c r="M35"/>
  <c r="M19"/>
  <c r="M94"/>
  <c r="M89"/>
  <c r="M73"/>
  <c r="M65"/>
  <c r="M56"/>
  <c r="M48"/>
  <c r="M40"/>
  <c r="M32"/>
  <c r="M24"/>
  <c r="M16"/>
  <c r="M6"/>
  <c r="M4"/>
  <c r="M10"/>
  <c r="M96"/>
  <c r="M84"/>
  <c r="M76"/>
  <c r="M68"/>
  <c r="M60"/>
  <c r="M53"/>
  <c r="M45"/>
  <c r="M37"/>
  <c r="M29"/>
  <c r="M21"/>
  <c r="M13"/>
  <c r="M98"/>
  <c r="M99"/>
  <c r="M91"/>
  <c r="M83"/>
  <c r="M75"/>
  <c r="M67"/>
  <c r="M59"/>
  <c r="M50"/>
  <c r="M42"/>
  <c r="M34"/>
  <c r="M26"/>
  <c r="M18"/>
  <c r="C35"/>
  <c r="M2"/>
  <c r="M9"/>
  <c r="M100"/>
  <c r="M86"/>
  <c r="M78"/>
  <c r="M70"/>
  <c r="M62"/>
  <c r="M55"/>
  <c r="M47"/>
  <c r="M39"/>
  <c r="M31"/>
  <c r="M23"/>
  <c r="M15"/>
  <c r="M101"/>
  <c r="M93"/>
  <c r="M85"/>
  <c r="M77"/>
  <c r="M69"/>
  <c r="M61"/>
  <c r="M52"/>
  <c r="M44"/>
  <c r="M36"/>
  <c r="M28"/>
  <c r="M20"/>
  <c r="M11"/>
  <c r="M8"/>
  <c r="M3"/>
  <c r="M88"/>
  <c r="M80"/>
  <c r="M72"/>
  <c r="M64"/>
  <c r="M57"/>
  <c r="M49"/>
  <c r="M41"/>
  <c r="M33"/>
  <c r="M25"/>
  <c r="M17"/>
  <c r="M90"/>
  <c r="M95"/>
  <c r="M87"/>
  <c r="M79"/>
  <c r="M71"/>
  <c r="M63"/>
  <c r="M54"/>
  <c r="M46"/>
  <c r="M38"/>
  <c r="M30"/>
  <c r="M22"/>
  <c r="M14"/>
  <c r="C8"/>
  <c r="C9"/>
  <c r="G27"/>
  <c r="N9" l="1"/>
  <c r="N19"/>
  <c r="N11"/>
  <c r="N8"/>
  <c r="N12"/>
  <c r="N18"/>
  <c r="N2"/>
  <c r="N3"/>
  <c r="N7"/>
  <c r="N6"/>
  <c r="N4"/>
  <c r="N10"/>
  <c r="N5"/>
  <c r="N13"/>
  <c r="N51"/>
  <c r="N72"/>
  <c r="N16"/>
  <c r="N20"/>
  <c r="N23"/>
  <c r="N35"/>
  <c r="N40"/>
  <c r="N44"/>
  <c r="N98"/>
  <c r="N82"/>
  <c r="N89"/>
  <c r="N58"/>
  <c r="N37"/>
  <c r="N93"/>
  <c r="N80"/>
  <c r="N65"/>
  <c r="N70"/>
  <c r="N36"/>
  <c r="N95"/>
  <c r="N83"/>
  <c r="N76"/>
  <c r="N46"/>
  <c r="N59"/>
  <c r="N45"/>
  <c r="N28"/>
  <c r="N24"/>
  <c r="N29"/>
  <c r="N32"/>
  <c r="N67"/>
  <c r="N30"/>
  <c r="N22"/>
  <c r="N43"/>
  <c r="N88"/>
  <c r="N60"/>
  <c r="N90"/>
  <c r="N99"/>
  <c r="N75"/>
  <c r="N47"/>
  <c r="N39"/>
  <c r="N77"/>
  <c r="N41"/>
  <c r="N86"/>
  <c r="N56"/>
  <c r="N92"/>
  <c r="N52"/>
  <c r="N33"/>
  <c r="N21"/>
  <c r="N53"/>
  <c r="N17"/>
  <c r="N97"/>
  <c r="N15"/>
  <c r="N27"/>
  <c r="N69"/>
  <c r="N66"/>
  <c r="N61"/>
  <c r="N87"/>
  <c r="N38"/>
  <c r="N57"/>
  <c r="N42"/>
  <c r="N73"/>
  <c r="N63"/>
  <c r="N101"/>
  <c r="N94"/>
  <c r="N62"/>
  <c r="N100"/>
  <c r="N68"/>
  <c r="N25"/>
  <c r="N14"/>
  <c r="N31"/>
  <c r="N34"/>
  <c r="N26"/>
  <c r="N50"/>
  <c r="N81"/>
  <c r="N64"/>
  <c r="N71"/>
  <c r="N74"/>
  <c r="N96"/>
  <c r="N91"/>
  <c r="N55"/>
  <c r="N49"/>
  <c r="N85"/>
  <c r="N79"/>
  <c r="N78"/>
  <c r="N48"/>
  <c r="N84"/>
  <c r="N54"/>
  <c r="C16"/>
  <c r="E16"/>
  <c r="E18" s="1"/>
  <c r="C43"/>
  <c r="C42"/>
  <c r="C40"/>
  <c r="C18"/>
  <c r="C57" l="1"/>
  <c r="C45"/>
  <c r="D16"/>
  <c r="C20"/>
  <c r="C59"/>
  <c r="C61" l="1"/>
  <c r="C37" s="1"/>
  <c r="C22"/>
  <c r="E20"/>
  <c r="C26" l="1"/>
  <c r="G20"/>
  <c r="C28" l="1"/>
  <c r="C30"/>
  <c r="C32"/>
  <c r="G26"/>
  <c r="C34"/>
  <c r="G28" l="1"/>
</calcChain>
</file>

<file path=xl/sharedStrings.xml><?xml version="1.0" encoding="utf-8"?>
<sst xmlns="http://schemas.openxmlformats.org/spreadsheetml/2006/main" count="128" uniqueCount="114">
  <si>
    <t>Layer number</t>
  </si>
  <si>
    <t>Length / Turn, in</t>
  </si>
  <si>
    <t>Total length for layer, in</t>
  </si>
  <si>
    <t>Sum for number of layers, in</t>
  </si>
  <si>
    <t>awg</t>
  </si>
  <si>
    <t>dia</t>
  </si>
  <si>
    <t>nom dia</t>
  </si>
  <si>
    <t>turns / in</t>
  </si>
  <si>
    <t>turns / sq in</t>
  </si>
  <si>
    <t>Ohms / 1000'</t>
  </si>
  <si>
    <t>Operating Current</t>
  </si>
  <si>
    <t>Fusing Current</t>
  </si>
  <si>
    <t>lb/1000'</t>
  </si>
  <si>
    <t>breaking force, lb</t>
  </si>
  <si>
    <t>core radius</t>
  </si>
  <si>
    <t>r1</t>
  </si>
  <si>
    <t>inches</t>
  </si>
  <si>
    <t>core diameter</t>
  </si>
  <si>
    <t>B</t>
  </si>
  <si>
    <t>outer radius</t>
  </si>
  <si>
    <t>r2</t>
  </si>
  <si>
    <t>coil diameter</t>
  </si>
  <si>
    <t>D</t>
  </si>
  <si>
    <t>coil thickness</t>
  </si>
  <si>
    <t>N</t>
  </si>
  <si>
    <t>core length</t>
  </si>
  <si>
    <t>L</t>
  </si>
  <si>
    <t>Wire Data</t>
  </si>
  <si>
    <t>turns/in</t>
  </si>
  <si>
    <t>turns/sq in</t>
  </si>
  <si>
    <t>Ohms/1000'</t>
  </si>
  <si>
    <t>Current</t>
  </si>
  <si>
    <t>Fusing</t>
  </si>
  <si>
    <t>wire size, enamel</t>
  </si>
  <si>
    <t>number of turns/layer</t>
  </si>
  <si>
    <t>t</t>
  </si>
  <si>
    <t>max</t>
  </si>
  <si>
    <t>number of layers</t>
  </si>
  <si>
    <t>y</t>
  </si>
  <si>
    <t>total number of turns</t>
  </si>
  <si>
    <t>T</t>
  </si>
  <si>
    <t>turns</t>
  </si>
  <si>
    <t>total length</t>
  </si>
  <si>
    <t>x</t>
  </si>
  <si>
    <t>feet</t>
  </si>
  <si>
    <t>lb</t>
  </si>
  <si>
    <t>total resistance</t>
  </si>
  <si>
    <t>R</t>
  </si>
  <si>
    <t>Ohms</t>
  </si>
  <si>
    <t>applied Vdc</t>
  </si>
  <si>
    <t>V</t>
  </si>
  <si>
    <t>Volts</t>
  </si>
  <si>
    <t>rated current</t>
  </si>
  <si>
    <t>I</t>
  </si>
  <si>
    <t>Amps</t>
  </si>
  <si>
    <t>I^2*R</t>
  </si>
  <si>
    <t>Watts</t>
  </si>
  <si>
    <t>surface area</t>
  </si>
  <si>
    <t>sq in</t>
  </si>
  <si>
    <t>amp*turns</t>
  </si>
  <si>
    <t>dissipation</t>
  </si>
  <si>
    <t>W/sq in</t>
  </si>
  <si>
    <t>0.5 ideal</t>
  </si>
  <si>
    <t>Gauss at center</t>
  </si>
  <si>
    <t>G1</t>
  </si>
  <si>
    <t>Gauss</t>
  </si>
  <si>
    <t>(center of air core)</t>
  </si>
  <si>
    <t>G2</t>
  </si>
  <si>
    <t>(center of edge of air core)</t>
  </si>
  <si>
    <t>G3</t>
  </si>
  <si>
    <t>(inches from RH edge of air core)</t>
  </si>
  <si>
    <t>at</t>
  </si>
  <si>
    <t>inches from RH edge</t>
  </si>
  <si>
    <t>Inductance with air core</t>
  </si>
  <si>
    <t>mH</t>
  </si>
  <si>
    <t>Coil</t>
  </si>
  <si>
    <t>a =</t>
  </si>
  <si>
    <t>b =</t>
  </si>
  <si>
    <t>a/b =</t>
  </si>
  <si>
    <t>b/a =</t>
  </si>
  <si>
    <t>rm =</t>
  </si>
  <si>
    <t>a/2rm =</t>
  </si>
  <si>
    <t>a/b=1.00</t>
  </si>
  <si>
    <t>a/b=0.75</t>
  </si>
  <si>
    <t>a/b=0.50</t>
  </si>
  <si>
    <t>a/b=0.25</t>
  </si>
  <si>
    <t>a/b=0</t>
  </si>
  <si>
    <t>F</t>
  </si>
  <si>
    <t>b/a=0</t>
  </si>
  <si>
    <t>b/a=0.25</t>
  </si>
  <si>
    <t>b/a=0.50</t>
  </si>
  <si>
    <t>b/a=0.75</t>
  </si>
  <si>
    <t>b/a=1.00</t>
  </si>
  <si>
    <t>b/a=1.33</t>
  </si>
  <si>
    <t>b/a=2</t>
  </si>
  <si>
    <t>b/a=4</t>
  </si>
  <si>
    <t>b/a=inf</t>
  </si>
  <si>
    <t>a/2rm=0</t>
  </si>
  <si>
    <t>a/2rm=0.25</t>
  </si>
  <si>
    <t>a/2rm=0.50</t>
  </si>
  <si>
    <t>a/2rm=0.75</t>
  </si>
  <si>
    <t>a/2rm=1.00</t>
  </si>
  <si>
    <t>F=</t>
  </si>
  <si>
    <t>P=</t>
  </si>
  <si>
    <t>u=</t>
  </si>
  <si>
    <t>N=</t>
  </si>
  <si>
    <t>L=</t>
  </si>
  <si>
    <t>[ r2 = 3*r1 ]</t>
  </si>
  <si>
    <t>[ L = 4*r1 ]</t>
  </si>
  <si>
    <t>[ for max gauss ]</t>
  </si>
  <si>
    <t>[ ALL DIMENSIONS ARE IN INCHES UNLESS OTHERWISE SPECIFIED ]</t>
  </si>
  <si>
    <t>COIL DATA</t>
  </si>
  <si>
    <t>E  L  E  C  T  R  O  M  A  G  N  E  T       D  E  S  I  G  N</t>
  </si>
  <si>
    <t>[ DESIGN INPUT ]</t>
  </si>
</sst>
</file>

<file path=xl/styles.xml><?xml version="1.0" encoding="utf-8"?>
<styleSheet xmlns="http://schemas.openxmlformats.org/spreadsheetml/2006/main">
  <numFmts count="5">
    <numFmt numFmtId="165" formatCode="0.0000"/>
    <numFmt numFmtId="166" formatCode="0.000"/>
    <numFmt numFmtId="167" formatCode="0.0"/>
    <numFmt numFmtId="168" formatCode="0.00000"/>
    <numFmt numFmtId="169" formatCode="0.000000"/>
  </numFmts>
  <fonts count="4">
    <font>
      <sz val="10"/>
      <name val="Arial"/>
    </font>
    <font>
      <b/>
      <sz val="10"/>
      <name val="Arial"/>
    </font>
    <font>
      <sz val="10"/>
      <name val="Arial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9" fontId="0" fillId="0" borderId="0" xfId="0" applyNumberFormat="1"/>
    <xf numFmtId="169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7" fontId="0" fillId="3" borderId="0" xfId="0" applyNumberFormat="1" applyFill="1"/>
    <xf numFmtId="2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0" fontId="3" fillId="3" borderId="0" xfId="0" applyFont="1" applyFill="1"/>
    <xf numFmtId="168" fontId="0" fillId="3" borderId="0" xfId="0" applyNumberFormat="1" applyFill="1"/>
    <xf numFmtId="0" fontId="0" fillId="3" borderId="1" xfId="0" applyFill="1" applyBorder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0" fontId="0" fillId="5" borderId="0" xfId="0" applyFill="1" applyAlignment="1">
      <alignment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8" fontId="0" fillId="6" borderId="0" xfId="0" applyNumberFormat="1" applyFill="1" applyAlignment="1">
      <alignment horizontal="center"/>
    </xf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for "F"</a:t>
            </a:r>
          </a:p>
        </c:rich>
      </c:tx>
      <c:layout>
        <c:manualLayout>
          <c:xMode val="edge"/>
          <c:yMode val="edge"/>
          <c:x val="0.41743119266055045"/>
          <c:y val="3.31125827814569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30253947206141"/>
          <c:y val="7.9313747198923354E-2"/>
          <c:w val="0.75159752952695158"/>
          <c:h val="0.78882084621312476"/>
        </c:manualLayout>
      </c:layout>
      <c:scatterChart>
        <c:scatterStyle val="lineMarker"/>
        <c:ser>
          <c:idx val="0"/>
          <c:order val="0"/>
          <c:tx>
            <c:strRef>
              <c:f>Sheet1!$A$49</c:f>
              <c:strCache>
                <c:ptCount val="1"/>
                <c:pt idx="0">
                  <c:v>a/2rm=0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xVal>
          <c:yVal>
            <c:numRef>
              <c:f>Sheet1!$B$49:$J$49</c:f>
              <c:numCache>
                <c:formatCode>0.0000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yVal>
        </c:ser>
        <c:ser>
          <c:idx val="1"/>
          <c:order val="1"/>
          <c:tx>
            <c:strRef>
              <c:f>Sheet1!$A$50</c:f>
              <c:strCache>
                <c:ptCount val="1"/>
                <c:pt idx="0">
                  <c:v>a/2rm=0.25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xVal>
          <c:yVal>
            <c:numRef>
              <c:f>Sheet1!$B$50:$J$50</c:f>
              <c:numCache>
                <c:formatCode>0.0000</c:formatCode>
                <c:ptCount val="9"/>
                <c:pt idx="0">
                  <c:v>1</c:v>
                </c:pt>
                <c:pt idx="1">
                  <c:v>0.90210000000000001</c:v>
                </c:pt>
                <c:pt idx="2">
                  <c:v>0.8246</c:v>
                </c:pt>
                <c:pt idx="3">
                  <c:v>0.76029999999999998</c:v>
                </c:pt>
                <c:pt idx="4">
                  <c:v>0.7056</c:v>
                </c:pt>
                <c:pt idx="5">
                  <c:v>0.64419999999999999</c:v>
                </c:pt>
                <c:pt idx="6">
                  <c:v>0.54869999999999997</c:v>
                </c:pt>
                <c:pt idx="7">
                  <c:v>0.37890000000000001</c:v>
                </c:pt>
                <c:pt idx="8">
                  <c:v>0</c:v>
                </c:pt>
              </c:numCache>
            </c:numRef>
          </c:yVal>
        </c:ser>
        <c:ser>
          <c:idx val="2"/>
          <c:order val="2"/>
          <c:tx>
            <c:strRef>
              <c:f>Sheet1!$A$51</c:f>
              <c:strCache>
                <c:ptCount val="1"/>
                <c:pt idx="0">
                  <c:v>a/2rm=0.50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xVal>
          <c:yVal>
            <c:numRef>
              <c:f>Sheet1!$B$51:$J$51</c:f>
              <c:numCache>
                <c:formatCode>0.0000</c:formatCode>
                <c:ptCount val="9"/>
                <c:pt idx="0">
                  <c:v>1</c:v>
                </c:pt>
                <c:pt idx="1">
                  <c:v>0.86560000000000004</c:v>
                </c:pt>
                <c:pt idx="2">
                  <c:v>0.76319999999999999</c:v>
                </c:pt>
                <c:pt idx="3">
                  <c:v>0.68159999999999998</c:v>
                </c:pt>
                <c:pt idx="4">
                  <c:v>0.61480000000000001</c:v>
                </c:pt>
                <c:pt idx="5">
                  <c:v>0.54300000000000004</c:v>
                </c:pt>
                <c:pt idx="6">
                  <c:v>0.4385</c:v>
                </c:pt>
                <c:pt idx="7">
                  <c:v>0.27539999999999998</c:v>
                </c:pt>
                <c:pt idx="8">
                  <c:v>0</c:v>
                </c:pt>
              </c:numCache>
            </c:numRef>
          </c:yVal>
        </c:ser>
        <c:ser>
          <c:idx val="3"/>
          <c:order val="3"/>
          <c:tx>
            <c:strRef>
              <c:f>Sheet1!$A$52</c:f>
              <c:strCache>
                <c:ptCount val="1"/>
                <c:pt idx="0">
                  <c:v>a/2rm=0.75</c:v>
                </c:pt>
              </c:strCache>
            </c:strRef>
          </c:tx>
          <c:spPr>
            <a:ln w="3175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xVal>
          <c:yVal>
            <c:numRef>
              <c:f>Sheet1!$B$52:$J$52</c:f>
              <c:numCache>
                <c:formatCode>0.0000</c:formatCode>
                <c:ptCount val="9"/>
                <c:pt idx="0">
                  <c:v>1</c:v>
                </c:pt>
                <c:pt idx="1">
                  <c:v>0.8347</c:v>
                </c:pt>
                <c:pt idx="2">
                  <c:v>0.71460000000000001</c:v>
                </c:pt>
                <c:pt idx="3">
                  <c:v>0.62339999999999995</c:v>
                </c:pt>
                <c:pt idx="4">
                  <c:v>0.55120000000000002</c:v>
                </c:pt>
                <c:pt idx="5">
                  <c:v>0.47689999999999999</c:v>
                </c:pt>
                <c:pt idx="6">
                  <c:v>0.374</c:v>
                </c:pt>
                <c:pt idx="7">
                  <c:v>0.22500000000000001</c:v>
                </c:pt>
                <c:pt idx="8">
                  <c:v>0</c:v>
                </c:pt>
              </c:numCache>
            </c:numRef>
          </c:yVal>
        </c:ser>
        <c:ser>
          <c:idx val="4"/>
          <c:order val="4"/>
          <c:tx>
            <c:strRef>
              <c:f>Sheet1!$A$53</c:f>
              <c:strCache>
                <c:ptCount val="1"/>
                <c:pt idx="0">
                  <c:v>a/2rm=1.00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xVal>
          <c:yVal>
            <c:numRef>
              <c:f>Sheet1!$B$53:$J$53</c:f>
              <c:numCache>
                <c:formatCode>0.0000</c:formatCode>
                <c:ptCount val="9"/>
                <c:pt idx="0">
                  <c:v>1</c:v>
                </c:pt>
                <c:pt idx="1">
                  <c:v>0.81030000000000002</c:v>
                </c:pt>
                <c:pt idx="2">
                  <c:v>0.68049999999999999</c:v>
                </c:pt>
                <c:pt idx="3">
                  <c:v>0.58389999999999997</c:v>
                </c:pt>
                <c:pt idx="4">
                  <c:v>0.51019999999999999</c:v>
                </c:pt>
                <c:pt idx="5">
                  <c:v>0.43580000000000002</c:v>
                </c:pt>
                <c:pt idx="6">
                  <c:v>0.33600000000000002</c:v>
                </c:pt>
                <c:pt idx="7">
                  <c:v>0.1976</c:v>
                </c:pt>
                <c:pt idx="8">
                  <c:v>0</c:v>
                </c:pt>
              </c:numCache>
            </c:numRef>
          </c:yVal>
        </c:ser>
        <c:axId val="76380032"/>
        <c:axId val="76403456"/>
      </c:scatterChart>
      <c:valAx>
        <c:axId val="76380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b/a ratio</a:t>
                </a:r>
              </a:p>
            </c:rich>
          </c:tx>
          <c:layout>
            <c:manualLayout>
              <c:xMode val="edge"/>
              <c:yMode val="edge"/>
              <c:x val="0.43807339449541288"/>
              <c:y val="0.8675496688741758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03456"/>
        <c:crosses val="autoZero"/>
        <c:crossBetween val="midCat"/>
      </c:valAx>
      <c:valAx>
        <c:axId val="7640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a/2rm ratio</a:t>
                </a:r>
              </a:p>
            </c:rich>
          </c:tx>
          <c:layout>
            <c:manualLayout>
              <c:xMode val="edge"/>
              <c:yMode val="edge"/>
              <c:x val="1.1467889908256881E-2"/>
              <c:y val="0.4006622516556293"/>
            </c:manualLayout>
          </c:layout>
          <c:spPr>
            <a:noFill/>
            <a:ln w="25400">
              <a:noFill/>
            </a:ln>
          </c:spPr>
        </c:title>
        <c:numFmt formatCode="0.0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800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28440366972475"/>
          <c:y val="0.33112582781457223"/>
          <c:w val="0.19036697247706424"/>
          <c:h val="0.2847682119205298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55" r="0.750000000000002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view3D>
      <c:rotX val="17"/>
      <c:hPercent val="100"/>
      <c:rotY val="135"/>
      <c:depthPercent val="200"/>
      <c:perspective val="30"/>
    </c:view3D>
    <c:floor>
      <c:spPr>
        <a:solidFill>
          <a:srgbClr val="CC9CCC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7967680322560934E-2"/>
          <c:y val="8.0168278965129527E-2"/>
          <c:w val="0.70581027584186506"/>
          <c:h val="0.55361349831271089"/>
        </c:manualLayout>
      </c:layout>
      <c:surface3DChart>
        <c:ser>
          <c:idx val="0"/>
          <c:order val="0"/>
          <c:tx>
            <c:strRef>
              <c:f>Sheet1!$A$49</c:f>
              <c:strCache>
                <c:ptCount val="1"/>
                <c:pt idx="0">
                  <c:v>a/2rm=0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cat>
          <c:val>
            <c:numRef>
              <c:f>Sheet1!$B$49:$J$49</c:f>
              <c:numCache>
                <c:formatCode>0.0000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Sheet1!$A$50</c:f>
              <c:strCache>
                <c:ptCount val="1"/>
                <c:pt idx="0">
                  <c:v>a/2rm=0.25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cat>
          <c:val>
            <c:numRef>
              <c:f>Sheet1!$B$50:$J$50</c:f>
              <c:numCache>
                <c:formatCode>0.0000</c:formatCode>
                <c:ptCount val="9"/>
                <c:pt idx="0">
                  <c:v>1</c:v>
                </c:pt>
                <c:pt idx="1">
                  <c:v>0.90210000000000001</c:v>
                </c:pt>
                <c:pt idx="2">
                  <c:v>0.8246</c:v>
                </c:pt>
                <c:pt idx="3">
                  <c:v>0.76029999999999998</c:v>
                </c:pt>
                <c:pt idx="4">
                  <c:v>0.7056</c:v>
                </c:pt>
                <c:pt idx="5">
                  <c:v>0.64419999999999999</c:v>
                </c:pt>
                <c:pt idx="6">
                  <c:v>0.54869999999999997</c:v>
                </c:pt>
                <c:pt idx="7">
                  <c:v>0.37890000000000001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Sheet1!$A$51</c:f>
              <c:strCache>
                <c:ptCount val="1"/>
                <c:pt idx="0">
                  <c:v>a/2rm=0.50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cat>
          <c:val>
            <c:numRef>
              <c:f>Sheet1!$B$51:$J$51</c:f>
              <c:numCache>
                <c:formatCode>0.0000</c:formatCode>
                <c:ptCount val="9"/>
                <c:pt idx="0">
                  <c:v>1</c:v>
                </c:pt>
                <c:pt idx="1">
                  <c:v>0.86560000000000004</c:v>
                </c:pt>
                <c:pt idx="2">
                  <c:v>0.76319999999999999</c:v>
                </c:pt>
                <c:pt idx="3">
                  <c:v>0.68159999999999998</c:v>
                </c:pt>
                <c:pt idx="4">
                  <c:v>0.61480000000000001</c:v>
                </c:pt>
                <c:pt idx="5">
                  <c:v>0.54300000000000004</c:v>
                </c:pt>
                <c:pt idx="6">
                  <c:v>0.4385</c:v>
                </c:pt>
                <c:pt idx="7">
                  <c:v>0.27539999999999998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Sheet1!$A$52</c:f>
              <c:strCache>
                <c:ptCount val="1"/>
                <c:pt idx="0">
                  <c:v>a/2rm=0.75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cat>
          <c:val>
            <c:numRef>
              <c:f>Sheet1!$B$52:$J$52</c:f>
              <c:numCache>
                <c:formatCode>0.0000</c:formatCode>
                <c:ptCount val="9"/>
                <c:pt idx="0">
                  <c:v>1</c:v>
                </c:pt>
                <c:pt idx="1">
                  <c:v>0.8347</c:v>
                </c:pt>
                <c:pt idx="2">
                  <c:v>0.71460000000000001</c:v>
                </c:pt>
                <c:pt idx="3">
                  <c:v>0.62339999999999995</c:v>
                </c:pt>
                <c:pt idx="4">
                  <c:v>0.55120000000000002</c:v>
                </c:pt>
                <c:pt idx="5">
                  <c:v>0.47689999999999999</c:v>
                </c:pt>
                <c:pt idx="6">
                  <c:v>0.374</c:v>
                </c:pt>
                <c:pt idx="7">
                  <c:v>0.22500000000000001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Sheet1!$A$53</c:f>
              <c:strCache>
                <c:ptCount val="1"/>
                <c:pt idx="0">
                  <c:v>a/2rm=1.00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strRef>
              <c:f>Sheet1!$B$48:$J$48</c:f>
              <c:strCache>
                <c:ptCount val="9"/>
                <c:pt idx="0">
                  <c:v>b/a=0</c:v>
                </c:pt>
                <c:pt idx="1">
                  <c:v>b/a=0.25</c:v>
                </c:pt>
                <c:pt idx="2">
                  <c:v>b/a=0.50</c:v>
                </c:pt>
                <c:pt idx="3">
                  <c:v>b/a=0.75</c:v>
                </c:pt>
                <c:pt idx="4">
                  <c:v>b/a=1.00</c:v>
                </c:pt>
                <c:pt idx="5">
                  <c:v>b/a=1.33</c:v>
                </c:pt>
                <c:pt idx="6">
                  <c:v>b/a=2</c:v>
                </c:pt>
                <c:pt idx="7">
                  <c:v>b/a=4</c:v>
                </c:pt>
                <c:pt idx="8">
                  <c:v>b/a=inf</c:v>
                </c:pt>
              </c:strCache>
            </c:strRef>
          </c:cat>
          <c:val>
            <c:numRef>
              <c:f>Sheet1!$B$53:$J$53</c:f>
              <c:numCache>
                <c:formatCode>0.0000</c:formatCode>
                <c:ptCount val="9"/>
                <c:pt idx="0">
                  <c:v>1</c:v>
                </c:pt>
                <c:pt idx="1">
                  <c:v>0.81030000000000002</c:v>
                </c:pt>
                <c:pt idx="2">
                  <c:v>0.68049999999999999</c:v>
                </c:pt>
                <c:pt idx="3">
                  <c:v>0.58389999999999997</c:v>
                </c:pt>
                <c:pt idx="4">
                  <c:v>0.51019999999999999</c:v>
                </c:pt>
                <c:pt idx="5">
                  <c:v>0.43580000000000002</c:v>
                </c:pt>
                <c:pt idx="6">
                  <c:v>0.33600000000000002</c:v>
                </c:pt>
                <c:pt idx="7">
                  <c:v>0.1976</c:v>
                </c:pt>
                <c:pt idx="8">
                  <c:v>0</c:v>
                </c:pt>
              </c:numCache>
            </c:numRef>
          </c:val>
        </c:ser>
        <c:bandFmts/>
        <c:axId val="76321152"/>
        <c:axId val="76322688"/>
        <c:axId val="76393088"/>
      </c:surface3DChart>
      <c:catAx>
        <c:axId val="763211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2688"/>
        <c:crosses val="autoZero"/>
        <c:lblAlgn val="ctr"/>
        <c:lblOffset val="100"/>
        <c:tickLblSkip val="2"/>
        <c:tickMarkSkip val="1"/>
        <c:noMultiLvlLbl val="1"/>
      </c:catAx>
      <c:valAx>
        <c:axId val="76322688"/>
        <c:scaling>
          <c:orientation val="minMax"/>
        </c:scaling>
        <c:axPos val="r"/>
        <c:numFmt formatCode="0.0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1152"/>
        <c:crosses val="min"/>
        <c:crossBetween val="midCat"/>
      </c:valAx>
      <c:serAx>
        <c:axId val="763930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22688"/>
        <c:crosses val="autoZero"/>
        <c:tickLblSkip val="3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5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5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504587155963614"/>
          <c:y val="0.31512605042016806"/>
          <c:w val="0.18119266055045871"/>
          <c:h val="0.361344537815126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lang="en-US"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55" r="0.750000000000002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656166</xdr:colOff>
      <xdr:row>54</xdr:row>
      <xdr:rowOff>9525</xdr:rowOff>
    </xdr:from>
    <xdr:to>
      <xdr:col>10</xdr:col>
      <xdr:colOff>2117</xdr:colOff>
      <xdr:row>76</xdr:row>
      <xdr:rowOff>63500</xdr:rowOff>
    </xdr:to>
    <xdr:graphicFrame macro="">
      <xdr:nvGraphicFramePr>
        <xdr:cNvPr id="10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656165</xdr:colOff>
      <xdr:row>76</xdr:row>
      <xdr:rowOff>157691</xdr:rowOff>
    </xdr:from>
    <xdr:to>
      <xdr:col>10</xdr:col>
      <xdr:colOff>2116</xdr:colOff>
      <xdr:row>100</xdr:row>
      <xdr:rowOff>148167</xdr:rowOff>
    </xdr:to>
    <xdr:graphicFrame macro="">
      <xdr:nvGraphicFramePr>
        <xdr:cNvPr id="10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1"/>
  <sheetViews>
    <sheetView tabSelected="1" workbookViewId="0">
      <selection activeCell="E45" sqref="E45"/>
    </sheetView>
  </sheetViews>
  <sheetFormatPr defaultRowHeight="12.75"/>
  <cols>
    <col min="1" max="1" width="21.140625" customWidth="1"/>
    <col min="2" max="2" width="11" customWidth="1"/>
    <col min="3" max="3" width="11.140625" customWidth="1"/>
    <col min="4" max="4" width="11.85546875" customWidth="1"/>
    <col min="5" max="5" width="10.85546875" customWidth="1"/>
    <col min="6" max="6" width="10.5703125" customWidth="1"/>
    <col min="7" max="7" width="11.140625" customWidth="1"/>
    <col min="22" max="22" width="10" customWidth="1"/>
  </cols>
  <sheetData>
    <row r="1" spans="1:25" ht="38.25">
      <c r="A1" s="26" t="s">
        <v>112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0</v>
      </c>
      <c r="L1" s="27" t="s">
        <v>1</v>
      </c>
      <c r="M1" s="27" t="s">
        <v>2</v>
      </c>
      <c r="N1" s="27" t="s">
        <v>3</v>
      </c>
      <c r="O1" s="27"/>
      <c r="P1" s="28" t="s">
        <v>4</v>
      </c>
      <c r="Q1" s="28" t="s">
        <v>5</v>
      </c>
      <c r="R1" s="28" t="s">
        <v>6</v>
      </c>
      <c r="S1" s="29" t="s">
        <v>7</v>
      </c>
      <c r="T1" s="29" t="s">
        <v>8</v>
      </c>
      <c r="U1" s="29" t="s">
        <v>9</v>
      </c>
      <c r="V1" s="29" t="s">
        <v>10</v>
      </c>
      <c r="W1" s="29" t="s">
        <v>11</v>
      </c>
      <c r="X1" s="28" t="s">
        <v>12</v>
      </c>
      <c r="Y1" s="29" t="s">
        <v>13</v>
      </c>
    </row>
    <row r="2" spans="1:25">
      <c r="K2">
        <v>1</v>
      </c>
      <c r="L2" s="16">
        <f t="shared" ref="L2:L33" si="0">2*3.14159*($C$5+(K2-0.5)*$D$13)</f>
        <v>1.6135206239999997</v>
      </c>
      <c r="M2" s="16">
        <f t="shared" ref="M2:M33" si="1">L2*$C$15</f>
        <v>211.17757926911995</v>
      </c>
      <c r="N2" s="16">
        <f>SUM($M$2:M2)</f>
        <v>211.17757926911995</v>
      </c>
      <c r="O2" s="3"/>
      <c r="P2">
        <v>4</v>
      </c>
      <c r="Q2" s="1">
        <v>0.20430000000000001</v>
      </c>
      <c r="R2">
        <v>0.20619999999999999</v>
      </c>
      <c r="S2">
        <v>4.4130000000000003</v>
      </c>
      <c r="T2">
        <v>19.48</v>
      </c>
      <c r="U2">
        <v>0.24840000000000001</v>
      </c>
      <c r="V2">
        <v>42.3</v>
      </c>
      <c r="W2">
        <v>946</v>
      </c>
      <c r="X2">
        <v>126.4</v>
      </c>
      <c r="Y2" s="4">
        <v>1213</v>
      </c>
    </row>
    <row r="3" spans="1:25">
      <c r="A3" s="24" t="s">
        <v>111</v>
      </c>
      <c r="B3" t="s">
        <v>110</v>
      </c>
      <c r="K3">
        <v>2</v>
      </c>
      <c r="L3" s="16">
        <f t="shared" si="0"/>
        <v>1.6989718719999998</v>
      </c>
      <c r="M3" s="16">
        <f t="shared" si="1"/>
        <v>222.36143860735996</v>
      </c>
      <c r="N3" s="16">
        <f>SUM($M$2:M3)</f>
        <v>433.53901787647987</v>
      </c>
      <c r="O3" s="3"/>
      <c r="P3">
        <v>5</v>
      </c>
      <c r="Q3" s="1">
        <v>0.18190000000000001</v>
      </c>
      <c r="R3">
        <v>0.1837</v>
      </c>
      <c r="S3">
        <v>4.9539999999999997</v>
      </c>
      <c r="T3">
        <v>24.54</v>
      </c>
      <c r="U3">
        <v>0.31330000000000002</v>
      </c>
      <c r="V3">
        <v>33.549999999999997</v>
      </c>
      <c r="W3">
        <v>794</v>
      </c>
      <c r="X3">
        <v>100.2</v>
      </c>
      <c r="Y3">
        <v>961.5</v>
      </c>
    </row>
    <row r="4" spans="1:25" ht="13.5" thickBot="1">
      <c r="A4" s="25"/>
      <c r="E4" t="s">
        <v>109</v>
      </c>
      <c r="K4">
        <v>3</v>
      </c>
      <c r="L4" s="16">
        <f t="shared" si="0"/>
        <v>1.7844231199999998</v>
      </c>
      <c r="M4" s="16">
        <f t="shared" si="1"/>
        <v>233.54529794559997</v>
      </c>
      <c r="N4" s="16">
        <f>SUM($M$2:M4)</f>
        <v>667.08431582207982</v>
      </c>
      <c r="O4" s="3"/>
      <c r="P4">
        <v>6</v>
      </c>
      <c r="Q4" s="1">
        <v>0.16200000000000001</v>
      </c>
      <c r="R4">
        <v>0.1638</v>
      </c>
      <c r="S4">
        <v>5.556</v>
      </c>
      <c r="T4">
        <v>30.86</v>
      </c>
      <c r="U4" s="1">
        <v>0.39500000000000002</v>
      </c>
      <c r="V4">
        <v>26.6</v>
      </c>
      <c r="W4">
        <v>668</v>
      </c>
      <c r="X4">
        <v>79.459999999999994</v>
      </c>
      <c r="Y4" s="4">
        <v>762.6</v>
      </c>
    </row>
    <row r="5" spans="1:25" ht="13.5" thickBot="1">
      <c r="A5" s="25" t="s">
        <v>14</v>
      </c>
      <c r="B5" t="s">
        <v>15</v>
      </c>
      <c r="C5" s="30">
        <v>0.25</v>
      </c>
      <c r="D5" t="s">
        <v>16</v>
      </c>
      <c r="K5">
        <v>4</v>
      </c>
      <c r="L5" s="16">
        <f t="shared" si="0"/>
        <v>1.8698743679999998</v>
      </c>
      <c r="M5" s="16">
        <f t="shared" si="1"/>
        <v>244.72915728383998</v>
      </c>
      <c r="N5" s="16">
        <f>SUM($M$2:M5)</f>
        <v>911.8134731059198</v>
      </c>
      <c r="O5" s="3"/>
      <c r="P5">
        <v>7</v>
      </c>
      <c r="Q5" s="1">
        <v>0.14430000000000001</v>
      </c>
      <c r="R5" s="1">
        <v>0.14599999999999999</v>
      </c>
      <c r="S5">
        <v>6.2329999999999997</v>
      </c>
      <c r="T5">
        <v>38.85</v>
      </c>
      <c r="U5">
        <v>0.49809999999999999</v>
      </c>
      <c r="V5">
        <v>21.1</v>
      </c>
      <c r="W5">
        <v>561</v>
      </c>
      <c r="X5">
        <v>63.02</v>
      </c>
      <c r="Y5" s="4">
        <v>605.1</v>
      </c>
    </row>
    <row r="6" spans="1:25" ht="13.5" thickBot="1">
      <c r="A6" s="25" t="s">
        <v>17</v>
      </c>
      <c r="B6" t="s">
        <v>18</v>
      </c>
      <c r="C6">
        <f>2*C5</f>
        <v>0.5</v>
      </c>
      <c r="H6" s="32" t="s">
        <v>113</v>
      </c>
      <c r="I6" s="32"/>
      <c r="K6">
        <v>5</v>
      </c>
      <c r="L6" s="16">
        <f t="shared" si="0"/>
        <v>1.9553256159999999</v>
      </c>
      <c r="M6" s="16">
        <f t="shared" si="1"/>
        <v>255.91301662207997</v>
      </c>
      <c r="N6" s="16">
        <f>SUM($M$2:M6)</f>
        <v>1167.7264897279997</v>
      </c>
      <c r="O6" s="3"/>
      <c r="P6">
        <v>8</v>
      </c>
      <c r="Q6" s="1">
        <v>0.1285</v>
      </c>
      <c r="R6" s="1">
        <v>0.13020000000000001</v>
      </c>
      <c r="S6">
        <v>6.9889999999999999</v>
      </c>
      <c r="T6">
        <v>48.85</v>
      </c>
      <c r="U6">
        <v>0.62809999999999999</v>
      </c>
      <c r="V6">
        <v>16.73</v>
      </c>
      <c r="W6">
        <v>472</v>
      </c>
      <c r="X6">
        <v>49.97</v>
      </c>
      <c r="Y6" s="4">
        <v>479.8</v>
      </c>
    </row>
    <row r="7" spans="1:25" ht="13.5" thickBot="1">
      <c r="A7" s="25" t="s">
        <v>19</v>
      </c>
      <c r="B7" t="s">
        <v>20</v>
      </c>
      <c r="C7" s="30">
        <v>0.75</v>
      </c>
      <c r="E7" t="s">
        <v>107</v>
      </c>
      <c r="G7" s="1"/>
      <c r="K7">
        <v>6</v>
      </c>
      <c r="L7" s="16">
        <f t="shared" si="0"/>
        <v>2.0407768639999997</v>
      </c>
      <c r="M7" s="16">
        <f t="shared" si="1"/>
        <v>267.09687596031995</v>
      </c>
      <c r="N7" s="16">
        <f>SUM($M$2:M7)</f>
        <v>1434.8233656883197</v>
      </c>
      <c r="O7" s="3"/>
      <c r="P7">
        <v>9</v>
      </c>
      <c r="Q7" s="1">
        <v>0.1144</v>
      </c>
      <c r="R7" s="1">
        <v>0.11600000000000001</v>
      </c>
      <c r="S7">
        <v>7.8449999999999998</v>
      </c>
      <c r="T7">
        <v>61.54</v>
      </c>
      <c r="U7" s="1">
        <v>0.79200000000000004</v>
      </c>
      <c r="V7">
        <v>13.27</v>
      </c>
      <c r="W7">
        <v>396</v>
      </c>
      <c r="X7">
        <v>39.630000000000003</v>
      </c>
      <c r="Y7" s="4">
        <v>380.3</v>
      </c>
    </row>
    <row r="8" spans="1:25">
      <c r="A8" s="25" t="s">
        <v>21</v>
      </c>
      <c r="B8" t="s">
        <v>22</v>
      </c>
      <c r="C8">
        <f>2*C7</f>
        <v>1.5</v>
      </c>
      <c r="K8">
        <v>7</v>
      </c>
      <c r="L8" s="16">
        <f t="shared" si="0"/>
        <v>2.1262281119999997</v>
      </c>
      <c r="M8" s="16">
        <f t="shared" si="1"/>
        <v>278.28073529855993</v>
      </c>
      <c r="N8" s="16">
        <f>SUM($M$2:M8)</f>
        <v>1713.1041009868795</v>
      </c>
      <c r="O8" s="3"/>
      <c r="P8">
        <v>10</v>
      </c>
      <c r="Q8" s="1">
        <v>0.1019</v>
      </c>
      <c r="R8" s="1">
        <v>0.10390000000000001</v>
      </c>
      <c r="S8">
        <v>8.6620000000000008</v>
      </c>
      <c r="T8">
        <v>75.03</v>
      </c>
      <c r="U8">
        <v>0.99880000000000002</v>
      </c>
      <c r="V8">
        <v>10.52</v>
      </c>
      <c r="W8">
        <v>333</v>
      </c>
      <c r="X8">
        <v>31.43</v>
      </c>
      <c r="Y8" s="4">
        <v>314</v>
      </c>
    </row>
    <row r="9" spans="1:25" ht="13.5" thickBot="1">
      <c r="A9" s="25" t="s">
        <v>23</v>
      </c>
      <c r="B9" t="s">
        <v>24</v>
      </c>
      <c r="C9">
        <f>C7-C5</f>
        <v>0.5</v>
      </c>
      <c r="D9" s="14"/>
      <c r="K9">
        <v>8</v>
      </c>
      <c r="L9" s="16">
        <f t="shared" si="0"/>
        <v>2.2116793599999998</v>
      </c>
      <c r="M9" s="16">
        <f t="shared" si="1"/>
        <v>289.46459463679997</v>
      </c>
      <c r="N9" s="16">
        <f>SUM($M$2:M9)</f>
        <v>2002.5686956236796</v>
      </c>
      <c r="O9" s="3"/>
      <c r="P9">
        <v>11</v>
      </c>
      <c r="Q9" s="8">
        <v>9.0740000000000001E-2</v>
      </c>
      <c r="R9" s="1">
        <v>9.2700000000000005E-2</v>
      </c>
      <c r="S9">
        <v>9.7089999999999996</v>
      </c>
      <c r="T9">
        <v>94.26</v>
      </c>
      <c r="U9">
        <v>1.2949999999999999</v>
      </c>
      <c r="V9">
        <v>8.3450000000000006</v>
      </c>
      <c r="W9">
        <v>280</v>
      </c>
      <c r="X9">
        <v>24.92</v>
      </c>
      <c r="Y9" s="4">
        <v>249</v>
      </c>
    </row>
    <row r="10" spans="1:25" ht="13.5" thickBot="1">
      <c r="A10" s="25" t="s">
        <v>25</v>
      </c>
      <c r="B10" t="s">
        <v>26</v>
      </c>
      <c r="C10" s="30">
        <v>2</v>
      </c>
      <c r="D10" s="14"/>
      <c r="E10" t="s">
        <v>108</v>
      </c>
      <c r="G10" s="1"/>
      <c r="J10" s="4"/>
      <c r="K10">
        <v>9</v>
      </c>
      <c r="L10" s="16">
        <f t="shared" si="0"/>
        <v>2.2971306079999998</v>
      </c>
      <c r="M10" s="16">
        <f t="shared" si="1"/>
        <v>300.64845397503996</v>
      </c>
      <c r="N10" s="16">
        <f>SUM($M$2:M10)</f>
        <v>2303.2171495987195</v>
      </c>
      <c r="O10" s="3"/>
      <c r="P10">
        <v>12</v>
      </c>
      <c r="Q10" s="8">
        <v>8.0810000000000007E-2</v>
      </c>
      <c r="R10" s="1">
        <v>8.2699999999999996E-2</v>
      </c>
      <c r="S10">
        <v>10.88</v>
      </c>
      <c r="T10">
        <v>118.4</v>
      </c>
      <c r="U10">
        <v>1.5880000000000001</v>
      </c>
      <c r="V10">
        <v>6.6180000000000003</v>
      </c>
      <c r="W10">
        <v>235</v>
      </c>
      <c r="X10">
        <v>19.77</v>
      </c>
      <c r="Y10" s="4">
        <v>197.5</v>
      </c>
    </row>
    <row r="11" spans="1:25">
      <c r="K11">
        <v>10</v>
      </c>
      <c r="L11" s="16">
        <f t="shared" si="0"/>
        <v>2.3825818559999998</v>
      </c>
      <c r="M11" s="16">
        <f t="shared" si="1"/>
        <v>311.83231331327994</v>
      </c>
      <c r="N11" s="16">
        <f>SUM($M$2:M11)</f>
        <v>2615.0494629119994</v>
      </c>
      <c r="O11" s="3"/>
      <c r="P11">
        <v>13</v>
      </c>
      <c r="Q11" s="8">
        <v>7.1959999999999996E-2</v>
      </c>
      <c r="R11" s="1">
        <v>7.3800000000000004E-2</v>
      </c>
      <c r="S11">
        <v>12.19</v>
      </c>
      <c r="T11">
        <v>148.69999999999999</v>
      </c>
      <c r="U11">
        <v>2.0030000000000001</v>
      </c>
      <c r="V11">
        <v>5.2480000000000002</v>
      </c>
      <c r="W11">
        <v>198</v>
      </c>
      <c r="X11">
        <v>15.68</v>
      </c>
      <c r="Y11" s="4">
        <v>157</v>
      </c>
    </row>
    <row r="12" spans="1:25" s="6" customFormat="1" ht="13.5" thickBot="1">
      <c r="A12" s="22" t="s">
        <v>27</v>
      </c>
      <c r="B12" s="23" t="s">
        <v>4</v>
      </c>
      <c r="C12" s="23" t="s">
        <v>5</v>
      </c>
      <c r="D12" s="23" t="s">
        <v>6</v>
      </c>
      <c r="E12" s="23" t="s">
        <v>28</v>
      </c>
      <c r="F12" s="23" t="s">
        <v>29</v>
      </c>
      <c r="G12" s="23" t="s">
        <v>30</v>
      </c>
      <c r="H12" s="23" t="s">
        <v>31</v>
      </c>
      <c r="I12" s="23" t="s">
        <v>32</v>
      </c>
      <c r="J12" s="23" t="s">
        <v>12</v>
      </c>
      <c r="K12">
        <v>11</v>
      </c>
      <c r="L12" s="16">
        <f t="shared" si="0"/>
        <v>2.4680331039999999</v>
      </c>
      <c r="M12" s="16">
        <f t="shared" si="1"/>
        <v>323.01617265151998</v>
      </c>
      <c r="N12" s="16">
        <f>SUM($M$2:M12)</f>
        <v>2938.0656355635192</v>
      </c>
      <c r="O12" s="3"/>
      <c r="P12">
        <v>14</v>
      </c>
      <c r="Q12" s="8">
        <v>6.4079999999999998E-2</v>
      </c>
      <c r="R12" s="1">
        <v>6.5799999999999997E-2</v>
      </c>
      <c r="S12">
        <v>13.68</v>
      </c>
      <c r="T12">
        <v>187.1</v>
      </c>
      <c r="U12">
        <v>2.5249999999999999</v>
      </c>
      <c r="V12">
        <v>4.1619999999999999</v>
      </c>
      <c r="W12">
        <v>166</v>
      </c>
      <c r="X12">
        <v>12.43</v>
      </c>
      <c r="Y12" s="4">
        <v>124</v>
      </c>
    </row>
    <row r="13" spans="1:25" ht="13.5" thickBot="1">
      <c r="A13" s="25" t="s">
        <v>33</v>
      </c>
      <c r="B13" s="31">
        <v>28</v>
      </c>
      <c r="C13" s="20">
        <f>VLOOKUP($B$13,$P$2:$Y$48,2)</f>
        <v>1.264E-2</v>
      </c>
      <c r="D13" s="20">
        <f>VLOOKUP($B$13,$P$2:$Y$48,3)</f>
        <v>1.3599999999999999E-2</v>
      </c>
      <c r="E13" s="16">
        <f>VLOOKUP($B$13,$P$2:$Y$48,4)</f>
        <v>65.44</v>
      </c>
      <c r="F13" s="15">
        <f>VLOOKUP($B$13,$P$2:$Y$48,5)</f>
        <v>4282</v>
      </c>
      <c r="G13" s="16">
        <f>VLOOKUP($B$13,$P$2:$Y$48,6)</f>
        <v>64.89</v>
      </c>
      <c r="H13" s="16">
        <f>VLOOKUP($B$13,$P$2:$Y$48,7)</f>
        <v>0.16200000000000001</v>
      </c>
      <c r="I13" s="16">
        <f>VLOOKUP($B$13,$P$2:$Y$48,8)</f>
        <v>14.5</v>
      </c>
      <c r="J13" s="16">
        <f>VLOOKUP($B$13,$P$2:$Y$48,9)</f>
        <v>0.48370000000000002</v>
      </c>
      <c r="K13">
        <v>12</v>
      </c>
      <c r="L13" s="16">
        <f t="shared" si="0"/>
        <v>2.5534843519999999</v>
      </c>
      <c r="M13" s="16">
        <f t="shared" si="1"/>
        <v>334.20003198975996</v>
      </c>
      <c r="N13" s="16">
        <f>SUM($M$2:M13)</f>
        <v>3272.2656675532789</v>
      </c>
      <c r="O13" s="3"/>
      <c r="P13">
        <v>15</v>
      </c>
      <c r="Q13" s="8">
        <v>5.7070000000000003E-2</v>
      </c>
      <c r="R13" s="1">
        <v>5.8700000000000002E-2</v>
      </c>
      <c r="S13">
        <v>15.33</v>
      </c>
      <c r="T13">
        <v>235.1</v>
      </c>
      <c r="U13">
        <v>3.1840000000000002</v>
      </c>
      <c r="V13">
        <v>3.3010000000000002</v>
      </c>
      <c r="W13">
        <v>140</v>
      </c>
      <c r="X13">
        <v>9.8580000000000005</v>
      </c>
      <c r="Y13">
        <v>98.6</v>
      </c>
    </row>
    <row r="14" spans="1:25">
      <c r="A14" s="25"/>
      <c r="C14" s="20">
        <f>C13*25.4</f>
        <v>0.32105600000000001</v>
      </c>
      <c r="D14" s="20">
        <f>D13*25.4</f>
        <v>0.34543999999999997</v>
      </c>
      <c r="F14" s="4"/>
      <c r="G14" s="3"/>
      <c r="K14">
        <v>13</v>
      </c>
      <c r="L14" s="16">
        <f t="shared" si="0"/>
        <v>2.6389355999999999</v>
      </c>
      <c r="M14" s="16">
        <f t="shared" si="1"/>
        <v>345.383891328</v>
      </c>
      <c r="N14" s="16">
        <f>SUM($M$2:M14)</f>
        <v>3617.6495588812791</v>
      </c>
      <c r="O14" s="3"/>
      <c r="P14">
        <v>16</v>
      </c>
      <c r="Q14" s="8">
        <v>5.0819999999999997E-2</v>
      </c>
      <c r="R14" s="1">
        <v>5.2400000000000002E-2</v>
      </c>
      <c r="S14">
        <v>17.18</v>
      </c>
      <c r="T14" s="4">
        <v>295</v>
      </c>
      <c r="U14">
        <v>4.0149999999999997</v>
      </c>
      <c r="V14" s="7">
        <v>2.6179999999999999</v>
      </c>
      <c r="W14" s="7">
        <v>117</v>
      </c>
      <c r="X14" s="7">
        <v>7.8179999999999996</v>
      </c>
      <c r="Y14" s="4">
        <v>78</v>
      </c>
    </row>
    <row r="15" spans="1:25">
      <c r="A15" s="25" t="s">
        <v>34</v>
      </c>
      <c r="B15" t="s">
        <v>35</v>
      </c>
      <c r="C15" s="15">
        <f>E13*C10</f>
        <v>130.88</v>
      </c>
      <c r="E15" s="15">
        <f>C10/D13</f>
        <v>147.05882352941177</v>
      </c>
      <c r="F15" t="s">
        <v>36</v>
      </c>
      <c r="K15">
        <v>14</v>
      </c>
      <c r="L15" s="16">
        <f t="shared" si="0"/>
        <v>2.724386848</v>
      </c>
      <c r="M15" s="16">
        <f t="shared" si="1"/>
        <v>356.56775066623999</v>
      </c>
      <c r="N15" s="16">
        <f>SUM($M$2:M15)</f>
        <v>3974.2173095475191</v>
      </c>
      <c r="O15" s="3"/>
      <c r="P15">
        <v>17</v>
      </c>
      <c r="Q15" s="8">
        <v>4.5260000000000002E-2</v>
      </c>
      <c r="R15" s="1">
        <v>4.6800000000000001E-2</v>
      </c>
      <c r="S15">
        <v>19.23</v>
      </c>
      <c r="T15">
        <v>369.8</v>
      </c>
      <c r="U15">
        <v>5.0629999999999997</v>
      </c>
      <c r="V15">
        <v>2.0760000000000001</v>
      </c>
      <c r="W15">
        <v>98.6</v>
      </c>
      <c r="X15" s="2">
        <v>6.2</v>
      </c>
      <c r="Y15">
        <v>62.1</v>
      </c>
    </row>
    <row r="16" spans="1:25">
      <c r="A16" s="25" t="s">
        <v>37</v>
      </c>
      <c r="B16" t="s">
        <v>38</v>
      </c>
      <c r="C16" s="15">
        <f>E13*C9</f>
        <v>32.72</v>
      </c>
      <c r="D16" s="19" t="str">
        <f>IF(C16&gt;100,"&gt;100 layers","")</f>
        <v/>
      </c>
      <c r="E16" s="15">
        <f>C9/D13</f>
        <v>36.764705882352942</v>
      </c>
      <c r="F16" t="s">
        <v>36</v>
      </c>
      <c r="K16">
        <v>15</v>
      </c>
      <c r="L16" s="16">
        <f t="shared" si="0"/>
        <v>2.809838096</v>
      </c>
      <c r="M16" s="16">
        <f t="shared" si="1"/>
        <v>367.75161000447997</v>
      </c>
      <c r="N16" s="16">
        <f>SUM($M$2:M16)</f>
        <v>4341.9689195519986</v>
      </c>
      <c r="O16" s="3">
        <f>Q16*25.4</f>
        <v>1.02362</v>
      </c>
      <c r="P16">
        <v>18</v>
      </c>
      <c r="Q16" s="8">
        <v>4.0300000000000002E-2</v>
      </c>
      <c r="R16" s="1">
        <v>4.1799999999999997E-2</v>
      </c>
      <c r="S16">
        <v>21.53</v>
      </c>
      <c r="T16">
        <v>463.6</v>
      </c>
      <c r="U16">
        <v>6.3840000000000003</v>
      </c>
      <c r="V16">
        <v>1.6459999999999999</v>
      </c>
      <c r="W16">
        <v>82.4</v>
      </c>
      <c r="X16">
        <v>4.9169999999999998</v>
      </c>
      <c r="Y16">
        <v>49.1</v>
      </c>
    </row>
    <row r="17" spans="1:25">
      <c r="A17" s="25"/>
      <c r="C17" s="4"/>
      <c r="E17" s="4"/>
      <c r="K17">
        <v>16</v>
      </c>
      <c r="L17" s="16">
        <f t="shared" si="0"/>
        <v>2.8952893439999996</v>
      </c>
      <c r="M17" s="16">
        <f t="shared" si="1"/>
        <v>378.93546934271995</v>
      </c>
      <c r="N17" s="16">
        <f>SUM($M$2:M17)</f>
        <v>4720.904388894719</v>
      </c>
      <c r="O17" s="3">
        <f t="shared" ref="O17:O31" si="2">Q17*25.4</f>
        <v>0.91160599999999992</v>
      </c>
      <c r="P17">
        <v>19</v>
      </c>
      <c r="Q17" s="8">
        <v>3.5889999999999998E-2</v>
      </c>
      <c r="R17" s="1">
        <v>3.73E-2</v>
      </c>
      <c r="S17">
        <v>24.13</v>
      </c>
      <c r="T17">
        <v>582.20000000000005</v>
      </c>
      <c r="U17">
        <v>8.0510000000000002</v>
      </c>
      <c r="V17">
        <v>1.306</v>
      </c>
      <c r="W17">
        <v>69.7</v>
      </c>
      <c r="X17">
        <v>3.899</v>
      </c>
      <c r="Y17" s="4">
        <v>39</v>
      </c>
    </row>
    <row r="18" spans="1:25">
      <c r="A18" s="25" t="s">
        <v>39</v>
      </c>
      <c r="B18" t="s">
        <v>40</v>
      </c>
      <c r="C18" s="15">
        <f>F13*C10*C9</f>
        <v>4282</v>
      </c>
      <c r="D18" t="s">
        <v>41</v>
      </c>
      <c r="E18" s="15">
        <f>E15*E16</f>
        <v>5406.5743944636679</v>
      </c>
      <c r="F18" t="s">
        <v>36</v>
      </c>
      <c r="K18">
        <v>17</v>
      </c>
      <c r="L18" s="16">
        <f t="shared" si="0"/>
        <v>2.9807405919999996</v>
      </c>
      <c r="M18" s="16">
        <f t="shared" si="1"/>
        <v>390.11932868095994</v>
      </c>
      <c r="N18" s="16">
        <f>SUM($M$2:M18)</f>
        <v>5111.0237175756793</v>
      </c>
      <c r="O18" s="3">
        <f t="shared" si="2"/>
        <v>0.81178400000000006</v>
      </c>
      <c r="P18">
        <v>20</v>
      </c>
      <c r="Q18" s="9">
        <v>3.1960000000000002E-2</v>
      </c>
      <c r="R18" s="10">
        <v>3.3399999999999999E-2</v>
      </c>
      <c r="S18" s="7">
        <v>26.95</v>
      </c>
      <c r="T18" s="7">
        <v>726.1</v>
      </c>
      <c r="U18" s="7">
        <v>10.15</v>
      </c>
      <c r="V18">
        <v>1.0349999999999999</v>
      </c>
      <c r="W18">
        <v>58.6</v>
      </c>
      <c r="X18">
        <v>3.0920000000000001</v>
      </c>
      <c r="Y18" s="4">
        <v>31</v>
      </c>
    </row>
    <row r="19" spans="1:25">
      <c r="A19" s="25"/>
      <c r="K19">
        <v>18</v>
      </c>
      <c r="L19" s="16">
        <f t="shared" si="0"/>
        <v>3.0661918399999997</v>
      </c>
      <c r="M19" s="16">
        <f t="shared" si="1"/>
        <v>401.30318801919992</v>
      </c>
      <c r="N19" s="16">
        <f>SUM($M$2:M19)</f>
        <v>5512.3269055948795</v>
      </c>
      <c r="O19" s="3">
        <f t="shared" si="2"/>
        <v>0.72288399999999997</v>
      </c>
      <c r="P19">
        <v>21</v>
      </c>
      <c r="Q19" s="8">
        <v>2.8459999999999999E-2</v>
      </c>
      <c r="R19" s="1">
        <v>2.98E-2</v>
      </c>
      <c r="S19" s="3">
        <v>30.2</v>
      </c>
      <c r="T19">
        <v>912.1</v>
      </c>
      <c r="U19" s="3">
        <v>12.8</v>
      </c>
      <c r="V19">
        <v>0.82099999999999995</v>
      </c>
      <c r="W19">
        <v>49.3</v>
      </c>
      <c r="X19">
        <v>2.452</v>
      </c>
      <c r="Y19">
        <v>24.6</v>
      </c>
    </row>
    <row r="20" spans="1:25">
      <c r="A20" s="25" t="s">
        <v>42</v>
      </c>
      <c r="B20" t="s">
        <v>43</v>
      </c>
      <c r="C20" s="15">
        <f>VLOOKUP(C16,K2:N101,4)</f>
        <v>12304.876768378881</v>
      </c>
      <c r="D20" t="s">
        <v>16</v>
      </c>
      <c r="E20" s="15">
        <f>C20/12</f>
        <v>1025.4063973649068</v>
      </c>
      <c r="F20" t="s">
        <v>44</v>
      </c>
      <c r="G20" s="16">
        <f>J13*E20/1000</f>
        <v>0.49598907440540541</v>
      </c>
      <c r="H20" t="s">
        <v>45</v>
      </c>
      <c r="K20">
        <v>19</v>
      </c>
      <c r="L20" s="16">
        <f t="shared" si="0"/>
        <v>3.1516430880000001</v>
      </c>
      <c r="M20" s="16">
        <f t="shared" si="1"/>
        <v>412.48704735744002</v>
      </c>
      <c r="N20" s="16">
        <f>SUM($M$2:M20)</f>
        <v>5924.8139529523196</v>
      </c>
      <c r="O20" s="3">
        <f t="shared" si="2"/>
        <v>0.64388999999999996</v>
      </c>
      <c r="P20">
        <v>22</v>
      </c>
      <c r="Q20" s="8">
        <v>2.5350000000000001E-2</v>
      </c>
      <c r="R20" s="1">
        <v>2.6599999999999999E-2</v>
      </c>
      <c r="S20">
        <v>33.83</v>
      </c>
      <c r="T20">
        <v>1145</v>
      </c>
      <c r="U20">
        <v>16.14</v>
      </c>
      <c r="V20">
        <v>0.65110000000000001</v>
      </c>
      <c r="W20">
        <v>41.2</v>
      </c>
      <c r="X20">
        <v>1.9450000000000001</v>
      </c>
      <c r="Y20">
        <v>19.399999999999999</v>
      </c>
    </row>
    <row r="21" spans="1:25">
      <c r="A21" s="25"/>
      <c r="K21">
        <v>20</v>
      </c>
      <c r="L21" s="16">
        <f t="shared" si="0"/>
        <v>3.2370943359999997</v>
      </c>
      <c r="M21" s="16">
        <f t="shared" si="1"/>
        <v>423.67090669567995</v>
      </c>
      <c r="N21" s="16">
        <f>SUM($M$2:M21)</f>
        <v>6348.4848596479997</v>
      </c>
      <c r="O21" s="3">
        <f t="shared" si="2"/>
        <v>0.57327799999999995</v>
      </c>
      <c r="P21">
        <v>23</v>
      </c>
      <c r="Q21" s="8">
        <v>2.257E-2</v>
      </c>
      <c r="R21" s="1">
        <v>2.3800000000000002E-2</v>
      </c>
      <c r="S21">
        <v>37.82</v>
      </c>
      <c r="T21">
        <v>1430</v>
      </c>
      <c r="U21">
        <v>20.36</v>
      </c>
      <c r="V21">
        <v>0.51639999999999997</v>
      </c>
      <c r="W21">
        <v>34.799999999999997</v>
      </c>
      <c r="X21">
        <v>1.542</v>
      </c>
      <c r="Y21">
        <v>15.4</v>
      </c>
    </row>
    <row r="22" spans="1:25">
      <c r="A22" s="25" t="s">
        <v>46</v>
      </c>
      <c r="B22" t="s">
        <v>47</v>
      </c>
      <c r="C22" s="18">
        <f>C20*G13/(12*1000)</f>
        <v>66.538621125008802</v>
      </c>
      <c r="D22" t="s">
        <v>48</v>
      </c>
      <c r="K22">
        <v>21</v>
      </c>
      <c r="L22" s="16">
        <f t="shared" si="0"/>
        <v>3.3225455839999993</v>
      </c>
      <c r="M22" s="16">
        <f t="shared" si="1"/>
        <v>434.85476603391987</v>
      </c>
      <c r="N22" s="16">
        <f>SUM($M$2:M22)</f>
        <v>6783.3396256819196</v>
      </c>
      <c r="O22" s="3">
        <f t="shared" si="2"/>
        <v>0.51053999999999999</v>
      </c>
      <c r="P22">
        <v>24</v>
      </c>
      <c r="Q22" s="8">
        <v>2.01E-2</v>
      </c>
      <c r="R22" s="1">
        <v>2.1299999999999999E-2</v>
      </c>
      <c r="S22">
        <v>42.25</v>
      </c>
      <c r="T22">
        <v>1785</v>
      </c>
      <c r="U22">
        <v>25.67</v>
      </c>
      <c r="V22">
        <v>0.40949999999999998</v>
      </c>
      <c r="W22">
        <v>29.2</v>
      </c>
      <c r="X22">
        <v>1.2230000000000001</v>
      </c>
      <c r="Y22">
        <v>12.7</v>
      </c>
    </row>
    <row r="23" spans="1:25" ht="13.5" thickBot="1">
      <c r="A23" s="25"/>
      <c r="K23">
        <v>22</v>
      </c>
      <c r="L23" s="16">
        <f t="shared" si="0"/>
        <v>3.4079968319999998</v>
      </c>
      <c r="M23" s="16">
        <f t="shared" si="1"/>
        <v>446.03862537215997</v>
      </c>
      <c r="N23" s="16">
        <f>SUM($M$2:M23)</f>
        <v>7229.3782510540796</v>
      </c>
      <c r="O23" s="3">
        <f t="shared" si="2"/>
        <v>0.45465999999999995</v>
      </c>
      <c r="P23">
        <v>25</v>
      </c>
      <c r="Q23" s="8">
        <v>1.7899999999999999E-2</v>
      </c>
      <c r="R23" s="1">
        <v>1.9E-2</v>
      </c>
      <c r="S23">
        <v>47.37</v>
      </c>
      <c r="T23">
        <v>2244</v>
      </c>
      <c r="U23">
        <v>32.36</v>
      </c>
      <c r="V23">
        <v>0.32469999999999999</v>
      </c>
      <c r="W23">
        <v>24.5</v>
      </c>
      <c r="X23">
        <v>0.96989999999999998</v>
      </c>
      <c r="Y23">
        <v>10.1</v>
      </c>
    </row>
    <row r="24" spans="1:25" ht="13.5" thickBot="1">
      <c r="A24" s="25" t="s">
        <v>49</v>
      </c>
      <c r="B24" t="s">
        <v>50</v>
      </c>
      <c r="C24" s="30">
        <v>12</v>
      </c>
      <c r="D24" t="s">
        <v>51</v>
      </c>
      <c r="K24">
        <v>23</v>
      </c>
      <c r="L24" s="16">
        <f t="shared" si="0"/>
        <v>3.4934480800000003</v>
      </c>
      <c r="M24" s="16">
        <f t="shared" si="1"/>
        <v>457.22248471040001</v>
      </c>
      <c r="N24" s="16">
        <f>SUM($M$2:M24)</f>
        <v>7686.6007357644794</v>
      </c>
      <c r="O24" s="3">
        <f t="shared" si="2"/>
        <v>0.40487599999999996</v>
      </c>
      <c r="P24">
        <v>26</v>
      </c>
      <c r="Q24" s="8">
        <v>1.5939999999999999E-2</v>
      </c>
      <c r="R24" s="1">
        <v>1.7000000000000001E-2</v>
      </c>
      <c r="S24">
        <v>52.35</v>
      </c>
      <c r="T24">
        <v>2741</v>
      </c>
      <c r="U24">
        <v>40.81</v>
      </c>
      <c r="V24">
        <v>0.25750000000000001</v>
      </c>
      <c r="W24">
        <v>20.5</v>
      </c>
      <c r="X24">
        <v>0.75919999999999999</v>
      </c>
      <c r="Y24">
        <v>7.94</v>
      </c>
    </row>
    <row r="25" spans="1:25">
      <c r="A25" s="25"/>
      <c r="K25">
        <v>24</v>
      </c>
      <c r="L25" s="16">
        <f t="shared" si="0"/>
        <v>3.5788993279999999</v>
      </c>
      <c r="M25" s="16">
        <f t="shared" si="1"/>
        <v>468.40634404863999</v>
      </c>
      <c r="N25" s="16">
        <f>SUM($M$2:M25)</f>
        <v>8155.0070798131192</v>
      </c>
      <c r="O25" s="3">
        <f t="shared" si="2"/>
        <v>0.36068</v>
      </c>
      <c r="P25">
        <v>27</v>
      </c>
      <c r="Q25" s="8">
        <v>1.4200000000000001E-2</v>
      </c>
      <c r="R25" s="1">
        <v>1.52E-2</v>
      </c>
      <c r="S25">
        <v>58.55</v>
      </c>
      <c r="T25">
        <v>3428</v>
      </c>
      <c r="U25">
        <v>51.46</v>
      </c>
      <c r="V25">
        <v>0.20419999999999999</v>
      </c>
      <c r="W25">
        <v>17.399999999999999</v>
      </c>
      <c r="X25" s="1">
        <v>0.61</v>
      </c>
      <c r="Y25">
        <v>6.33</v>
      </c>
    </row>
    <row r="26" spans="1:25">
      <c r="A26" s="25" t="s">
        <v>52</v>
      </c>
      <c r="B26" t="s">
        <v>53</v>
      </c>
      <c r="C26" s="16">
        <f>C24/C22</f>
        <v>0.18034638826457064</v>
      </c>
      <c r="D26" t="s">
        <v>54</v>
      </c>
      <c r="F26" s="13" t="s">
        <v>55</v>
      </c>
      <c r="G26" s="15">
        <f>(C26^2)*C22</f>
        <v>2.1641566591748478</v>
      </c>
      <c r="H26" t="s">
        <v>56</v>
      </c>
      <c r="K26">
        <v>25</v>
      </c>
      <c r="L26" s="16">
        <f t="shared" si="0"/>
        <v>3.6643505759999995</v>
      </c>
      <c r="M26" s="16">
        <f t="shared" si="1"/>
        <v>479.59020338687992</v>
      </c>
      <c r="N26" s="16">
        <f>SUM($M$2:M26)</f>
        <v>8634.5972831999989</v>
      </c>
      <c r="O26" s="3">
        <f t="shared" si="2"/>
        <v>0.32105600000000001</v>
      </c>
      <c r="P26">
        <v>28</v>
      </c>
      <c r="Q26" s="8">
        <v>1.264E-2</v>
      </c>
      <c r="R26" s="1">
        <v>1.3599999999999999E-2</v>
      </c>
      <c r="S26">
        <v>65.44</v>
      </c>
      <c r="T26">
        <v>4282</v>
      </c>
      <c r="U26">
        <v>64.89</v>
      </c>
      <c r="V26" s="1">
        <v>0.16200000000000001</v>
      </c>
      <c r="W26">
        <v>14.5</v>
      </c>
      <c r="X26">
        <v>0.48370000000000002</v>
      </c>
      <c r="Y26">
        <v>4.99</v>
      </c>
    </row>
    <row r="27" spans="1:25">
      <c r="A27" s="25"/>
      <c r="F27" s="13" t="s">
        <v>57</v>
      </c>
      <c r="G27" s="3">
        <f>2*3.14159*C7*C10</f>
        <v>9.4247699999999988</v>
      </c>
      <c r="H27" t="s">
        <v>58</v>
      </c>
      <c r="K27">
        <v>26</v>
      </c>
      <c r="L27" s="16">
        <f t="shared" si="0"/>
        <v>3.749801824</v>
      </c>
      <c r="M27" s="16">
        <f t="shared" si="1"/>
        <v>490.77406272511996</v>
      </c>
      <c r="N27" s="16">
        <f>SUM($M$2:M27)</f>
        <v>9125.3713459251194</v>
      </c>
      <c r="O27" s="3">
        <f t="shared" si="2"/>
        <v>0.28600399999999998</v>
      </c>
      <c r="P27">
        <v>29</v>
      </c>
      <c r="Q27" s="8">
        <v>1.1259999999999999E-2</v>
      </c>
      <c r="R27" s="1">
        <v>1.2200000000000001E-2</v>
      </c>
      <c r="S27">
        <v>72.95</v>
      </c>
      <c r="T27">
        <v>5322</v>
      </c>
      <c r="U27">
        <v>81.83</v>
      </c>
      <c r="V27">
        <v>0.12839999999999999</v>
      </c>
      <c r="W27">
        <v>12.3</v>
      </c>
      <c r="X27">
        <v>0.3836</v>
      </c>
      <c r="Y27">
        <v>4.01</v>
      </c>
    </row>
    <row r="28" spans="1:25">
      <c r="A28" s="25" t="s">
        <v>59</v>
      </c>
      <c r="C28" s="17">
        <f>C26*C18</f>
        <v>772.24323454889145</v>
      </c>
      <c r="F28" s="13" t="s">
        <v>60</v>
      </c>
      <c r="G28" s="16">
        <f>G26/G27</f>
        <v>0.22962434724400149</v>
      </c>
      <c r="H28" t="s">
        <v>61</v>
      </c>
      <c r="I28" t="s">
        <v>62</v>
      </c>
      <c r="K28">
        <v>27</v>
      </c>
      <c r="L28" s="16">
        <f t="shared" si="0"/>
        <v>3.835253072</v>
      </c>
      <c r="M28" s="16">
        <f t="shared" si="1"/>
        <v>501.95792206336</v>
      </c>
      <c r="N28" s="16">
        <f>SUM($M$2:M28)</f>
        <v>9627.3292679884798</v>
      </c>
      <c r="O28" s="3">
        <f t="shared" si="2"/>
        <v>0.25450799999999996</v>
      </c>
      <c r="P28">
        <v>30</v>
      </c>
      <c r="Q28" s="8">
        <v>1.0019999999999999E-2</v>
      </c>
      <c r="R28" s="1">
        <v>1.09E-2</v>
      </c>
      <c r="S28">
        <v>81.650000000000006</v>
      </c>
      <c r="T28">
        <v>6667</v>
      </c>
      <c r="U28">
        <v>103.2</v>
      </c>
      <c r="V28">
        <v>0.1018</v>
      </c>
      <c r="W28">
        <v>10.199999999999999</v>
      </c>
      <c r="X28">
        <v>0.30420000000000003</v>
      </c>
      <c r="Y28">
        <v>3.14</v>
      </c>
    </row>
    <row r="29" spans="1:25">
      <c r="A29" s="25"/>
      <c r="K29">
        <v>28</v>
      </c>
      <c r="L29" s="16">
        <f t="shared" si="0"/>
        <v>3.92070432</v>
      </c>
      <c r="M29" s="16">
        <f t="shared" si="1"/>
        <v>513.14178140159993</v>
      </c>
      <c r="N29" s="16">
        <f>SUM($M$2:M29)</f>
        <v>10140.47104939008</v>
      </c>
      <c r="O29" s="3">
        <f t="shared" si="2"/>
        <v>0.22677119999999998</v>
      </c>
      <c r="P29">
        <v>31</v>
      </c>
      <c r="Q29" s="8">
        <v>8.9280000000000002E-3</v>
      </c>
      <c r="R29" s="1">
        <v>9.7000000000000003E-3</v>
      </c>
      <c r="S29">
        <v>90.72</v>
      </c>
      <c r="T29">
        <v>8230</v>
      </c>
      <c r="U29">
        <v>130.1</v>
      </c>
      <c r="V29">
        <v>8.0780000000000005E-2</v>
      </c>
      <c r="W29" s="3">
        <v>8.6</v>
      </c>
      <c r="X29">
        <v>0.2412</v>
      </c>
      <c r="Y29">
        <v>2.4900000000000002</v>
      </c>
    </row>
    <row r="30" spans="1:25">
      <c r="A30" s="25" t="s">
        <v>63</v>
      </c>
      <c r="B30" t="s">
        <v>64</v>
      </c>
      <c r="C30" s="17">
        <f>4.95*10^(-1)*C26*C18/(2*(C7-C5))*LN((SQRT(C7^2+(C10/2)^2)+C7)/(SQRT(C5^2+(C10/2)^2)+C5))</f>
        <v>170.36609041308242</v>
      </c>
      <c r="D30" t="s">
        <v>65</v>
      </c>
      <c r="E30" t="s">
        <v>66</v>
      </c>
      <c r="K30">
        <v>29</v>
      </c>
      <c r="L30" s="16">
        <f t="shared" si="0"/>
        <v>4.0061555679999996</v>
      </c>
      <c r="M30" s="16">
        <f t="shared" si="1"/>
        <v>524.32564073983997</v>
      </c>
      <c r="N30" s="16">
        <f>SUM($M$2:M30)</f>
        <v>10664.796690129921</v>
      </c>
      <c r="O30" s="3">
        <f t="shared" si="2"/>
        <v>0.20193</v>
      </c>
      <c r="P30">
        <v>32</v>
      </c>
      <c r="Q30" s="8">
        <v>7.9500000000000005E-3</v>
      </c>
      <c r="R30" s="1">
        <v>8.8000000000000005E-3</v>
      </c>
      <c r="S30" s="4">
        <v>100</v>
      </c>
      <c r="T30">
        <v>10000</v>
      </c>
      <c r="U30">
        <v>164.1</v>
      </c>
      <c r="V30">
        <v>6.4060000000000006E-2</v>
      </c>
      <c r="W30" s="3">
        <v>7.32</v>
      </c>
      <c r="X30">
        <v>0.1913</v>
      </c>
      <c r="Y30">
        <v>2.0099999999999998</v>
      </c>
    </row>
    <row r="31" spans="1:25">
      <c r="A31" s="25"/>
      <c r="K31">
        <v>30</v>
      </c>
      <c r="L31" s="16">
        <f t="shared" si="0"/>
        <v>4.0916068159999996</v>
      </c>
      <c r="M31" s="16">
        <f t="shared" si="1"/>
        <v>535.5095000780799</v>
      </c>
      <c r="N31" s="16">
        <f>SUM($M$2:M31)</f>
        <v>11200.306190208001</v>
      </c>
      <c r="O31" s="3">
        <f t="shared" si="2"/>
        <v>0.17983199999999999</v>
      </c>
      <c r="P31">
        <v>33</v>
      </c>
      <c r="Q31" s="8">
        <v>7.0800000000000004E-3</v>
      </c>
      <c r="R31" s="1">
        <v>7.7999999999999996E-3</v>
      </c>
      <c r="S31">
        <v>112.8</v>
      </c>
      <c r="T31">
        <v>12730</v>
      </c>
      <c r="U31">
        <v>206.9</v>
      </c>
      <c r="V31">
        <v>5.0799999999999998E-2</v>
      </c>
      <c r="W31" s="3">
        <v>6.1</v>
      </c>
      <c r="X31">
        <v>0.1517</v>
      </c>
      <c r="Y31">
        <v>1.58</v>
      </c>
    </row>
    <row r="32" spans="1:25">
      <c r="A32" s="25"/>
      <c r="B32" t="s">
        <v>67</v>
      </c>
      <c r="C32" s="17">
        <f>4.95*10^(-1)*C26*(C18/C10)/(2*(C7-C5))*C10*LN((SQRT(C7^2+C10^2)+C7)/(SQRT(C5^2+C10^2)+C5))</f>
        <v>92.525311020628735</v>
      </c>
      <c r="D32" t="s">
        <v>65</v>
      </c>
      <c r="E32" t="s">
        <v>68</v>
      </c>
      <c r="K32">
        <v>31</v>
      </c>
      <c r="L32" s="16">
        <f t="shared" si="0"/>
        <v>4.1770580640000006</v>
      </c>
      <c r="M32" s="16">
        <f t="shared" si="1"/>
        <v>546.69335941632005</v>
      </c>
      <c r="N32" s="16">
        <f>SUM($M$2:M32)</f>
        <v>11746.999549624321</v>
      </c>
      <c r="O32" s="3"/>
      <c r="P32">
        <v>34</v>
      </c>
      <c r="Q32" s="8">
        <v>6.3049999999999998E-3</v>
      </c>
      <c r="R32" s="1">
        <v>7.0000000000000001E-3</v>
      </c>
      <c r="S32">
        <v>125.7</v>
      </c>
      <c r="T32">
        <v>15800</v>
      </c>
      <c r="U32">
        <v>260.89999999999998</v>
      </c>
      <c r="V32">
        <v>4.0289999999999999E-2</v>
      </c>
      <c r="W32">
        <v>5.12</v>
      </c>
      <c r="X32">
        <v>0.1203</v>
      </c>
      <c r="Y32">
        <v>1.25</v>
      </c>
    </row>
    <row r="33" spans="1:25">
      <c r="A33" s="25"/>
      <c r="K33">
        <v>32</v>
      </c>
      <c r="L33" s="16">
        <f t="shared" si="0"/>
        <v>4.2625093119999997</v>
      </c>
      <c r="M33" s="16">
        <f t="shared" si="1"/>
        <v>557.87721875455998</v>
      </c>
      <c r="N33" s="16">
        <f>SUM($M$2:M33)</f>
        <v>12304.876768378881</v>
      </c>
      <c r="O33" s="3"/>
      <c r="P33">
        <v>35</v>
      </c>
      <c r="Q33" s="8">
        <v>5.6150000000000002E-3</v>
      </c>
      <c r="R33" s="1">
        <v>6.1999999999999998E-3</v>
      </c>
      <c r="S33">
        <v>141.9</v>
      </c>
      <c r="T33">
        <v>20150</v>
      </c>
      <c r="U33">
        <v>329</v>
      </c>
      <c r="V33">
        <v>3.1949999999999999E-2</v>
      </c>
      <c r="W33">
        <v>4.28</v>
      </c>
      <c r="X33">
        <v>9.5420000000000005E-2</v>
      </c>
      <c r="Y33">
        <v>0.98499999999999999</v>
      </c>
    </row>
    <row r="34" spans="1:25" ht="13.5" thickBot="1">
      <c r="A34" s="25"/>
      <c r="B34" t="s">
        <v>69</v>
      </c>
      <c r="C34" s="17">
        <f>4.95*10^(-1)*C26*(C18/C10)/(2*(C7-C5))*((C10+C35)*LN((SQRT(C7^2+(C10+C35)^2)+C7)/(SQRT(C5^2+(C10+C35)^2)+C5))-C35*LN((SQRT(C7^2+C35^2)+C7)/(SQRT(C5^2+C35^2)+C5)))</f>
        <v>8.9844796950451116</v>
      </c>
      <c r="D34" t="s">
        <v>65</v>
      </c>
      <c r="E34" t="s">
        <v>70</v>
      </c>
      <c r="K34">
        <v>33</v>
      </c>
      <c r="L34" s="16">
        <f t="shared" ref="L34:L65" si="3">2*3.14159*($C$5+(K34-0.5)*$D$13)</f>
        <v>4.3479605599999998</v>
      </c>
      <c r="M34" s="16">
        <f t="shared" ref="M34:M65" si="4">L34*$C$15</f>
        <v>569.0610780927999</v>
      </c>
      <c r="N34" s="16">
        <f>SUM($M$2:M34)</f>
        <v>12873.937846471681</v>
      </c>
      <c r="O34" s="3"/>
      <c r="P34">
        <v>36</v>
      </c>
      <c r="Q34" s="8">
        <v>5.0000000000000001E-3</v>
      </c>
      <c r="R34" s="1">
        <v>5.5999999999999999E-3</v>
      </c>
      <c r="S34">
        <v>155.4</v>
      </c>
      <c r="T34">
        <v>24140</v>
      </c>
      <c r="U34">
        <v>414.8</v>
      </c>
      <c r="V34">
        <v>2.5340000000000001E-2</v>
      </c>
      <c r="W34">
        <v>3.62</v>
      </c>
      <c r="X34">
        <v>7.5670000000000001E-2</v>
      </c>
      <c r="Y34">
        <v>0.78500000000000003</v>
      </c>
    </row>
    <row r="35" spans="1:25" ht="13.5" thickBot="1">
      <c r="A35" s="25"/>
      <c r="B35" s="13" t="s">
        <v>71</v>
      </c>
      <c r="C35" s="21">
        <f>C10/2</f>
        <v>1</v>
      </c>
      <c r="D35" t="s">
        <v>72</v>
      </c>
      <c r="K35">
        <v>34</v>
      </c>
      <c r="L35" s="16">
        <f t="shared" si="3"/>
        <v>4.4334118079999998</v>
      </c>
      <c r="M35" s="16">
        <f t="shared" si="4"/>
        <v>580.24493743103994</v>
      </c>
      <c r="N35" s="16">
        <f>SUM($M$2:M35)</f>
        <v>13454.182783902721</v>
      </c>
      <c r="O35" s="3"/>
      <c r="P35">
        <v>37</v>
      </c>
      <c r="Q35" s="8">
        <v>4.4530000000000004E-3</v>
      </c>
      <c r="R35" s="1">
        <v>5.0000000000000001E-3</v>
      </c>
      <c r="S35" s="4">
        <v>174</v>
      </c>
      <c r="T35">
        <v>30280</v>
      </c>
      <c r="U35">
        <v>523.1</v>
      </c>
      <c r="V35">
        <v>2.009E-2</v>
      </c>
      <c r="W35">
        <v>3.08</v>
      </c>
      <c r="X35">
        <v>6.0010000000000001E-2</v>
      </c>
      <c r="Y35">
        <v>0.63600000000000001</v>
      </c>
    </row>
    <row r="36" spans="1:25">
      <c r="A36" s="25"/>
      <c r="K36">
        <v>35</v>
      </c>
      <c r="L36" s="16">
        <f t="shared" si="3"/>
        <v>4.5188630559999998</v>
      </c>
      <c r="M36" s="16">
        <f t="shared" si="4"/>
        <v>591.42879676927998</v>
      </c>
      <c r="N36" s="16">
        <f>SUM($M$2:M36)</f>
        <v>14045.611580672001</v>
      </c>
      <c r="O36" s="3"/>
      <c r="P36">
        <v>38</v>
      </c>
      <c r="Q36" s="8">
        <v>3.9649999999999998E-3</v>
      </c>
      <c r="R36" s="1">
        <v>4.4999999999999997E-3</v>
      </c>
      <c r="S36">
        <v>193.3</v>
      </c>
      <c r="T36">
        <v>37380</v>
      </c>
      <c r="U36">
        <v>659.6</v>
      </c>
      <c r="V36">
        <v>1.593E-2</v>
      </c>
      <c r="W36">
        <v>2.61</v>
      </c>
      <c r="X36">
        <v>4.759E-2</v>
      </c>
      <c r="Y36">
        <v>0.503</v>
      </c>
    </row>
    <row r="37" spans="1:25">
      <c r="A37" s="25" t="s">
        <v>73</v>
      </c>
      <c r="B37" t="s">
        <v>26</v>
      </c>
      <c r="C37" s="15">
        <f>C61</f>
        <v>260.2335110089162</v>
      </c>
      <c r="D37" t="s">
        <v>74</v>
      </c>
      <c r="G37" s="12" t="s">
        <v>75</v>
      </c>
      <c r="K37">
        <v>36</v>
      </c>
      <c r="L37" s="16">
        <f t="shared" si="3"/>
        <v>4.604314303999999</v>
      </c>
      <c r="M37" s="16">
        <f t="shared" si="4"/>
        <v>602.6126561075198</v>
      </c>
      <c r="N37" s="16">
        <f>SUM($M$2:M37)</f>
        <v>14648.224236779521</v>
      </c>
      <c r="O37" s="3"/>
      <c r="P37">
        <v>39</v>
      </c>
      <c r="Q37" s="8">
        <v>3.5309999999999999E-3</v>
      </c>
      <c r="R37" s="1">
        <v>3.8999999999999998E-3</v>
      </c>
      <c r="S37">
        <v>220.5</v>
      </c>
      <c r="T37">
        <v>48630</v>
      </c>
      <c r="U37">
        <v>831.7</v>
      </c>
      <c r="V37">
        <v>1.264E-2</v>
      </c>
      <c r="W37">
        <v>2.12</v>
      </c>
      <c r="X37">
        <v>3.7740000000000003E-2</v>
      </c>
      <c r="Y37">
        <v>0.38500000000000001</v>
      </c>
    </row>
    <row r="38" spans="1:25">
      <c r="E38" s="11"/>
      <c r="F38" s="5"/>
      <c r="G38" s="5"/>
      <c r="H38" s="5"/>
      <c r="K38">
        <v>37</v>
      </c>
      <c r="L38" s="16">
        <f t="shared" si="3"/>
        <v>4.6897655519999999</v>
      </c>
      <c r="M38" s="16">
        <f t="shared" si="4"/>
        <v>613.79651544575995</v>
      </c>
      <c r="N38" s="16">
        <f>SUM($M$2:M38)</f>
        <v>15262.02075222528</v>
      </c>
      <c r="O38" s="3"/>
      <c r="P38">
        <v>40</v>
      </c>
      <c r="Q38" s="8">
        <v>3.1440000000000001E-3</v>
      </c>
      <c r="R38" s="1">
        <v>3.5000000000000001E-3</v>
      </c>
      <c r="S38">
        <v>245.7</v>
      </c>
      <c r="T38">
        <v>60376</v>
      </c>
      <c r="U38">
        <v>1049</v>
      </c>
      <c r="V38">
        <v>1.0019999999999999E-2</v>
      </c>
      <c r="W38">
        <v>1.77</v>
      </c>
      <c r="X38">
        <v>2.9929999999999998E-2</v>
      </c>
      <c r="Y38">
        <v>0.30199999999999999</v>
      </c>
    </row>
    <row r="39" spans="1:25">
      <c r="K39">
        <v>38</v>
      </c>
      <c r="L39" s="16">
        <f t="shared" si="3"/>
        <v>4.7752167999999999</v>
      </c>
      <c r="M39" s="16">
        <f t="shared" si="4"/>
        <v>624.98037478399999</v>
      </c>
      <c r="N39" s="16">
        <f>SUM($M$2:M39)</f>
        <v>15887.00112700928</v>
      </c>
      <c r="O39" s="3"/>
      <c r="P39">
        <v>41</v>
      </c>
      <c r="Q39" s="8">
        <v>2.8E-3</v>
      </c>
      <c r="R39" s="1">
        <v>3.0999999999999999E-3</v>
      </c>
      <c r="S39">
        <v>274.2</v>
      </c>
      <c r="T39">
        <v>75182</v>
      </c>
      <c r="U39">
        <v>1322</v>
      </c>
      <c r="V39">
        <v>7.9469999999999992E-3</v>
      </c>
      <c r="W39">
        <v>1.52</v>
      </c>
      <c r="X39">
        <v>2.3740000000000001E-2</v>
      </c>
      <c r="Y39">
        <v>0.246</v>
      </c>
    </row>
    <row r="40" spans="1:25">
      <c r="B40" t="s">
        <v>76</v>
      </c>
      <c r="C40" s="3">
        <f>C9</f>
        <v>0.5</v>
      </c>
      <c r="G40" s="12" t="s">
        <v>64</v>
      </c>
      <c r="H40" s="12" t="s">
        <v>67</v>
      </c>
      <c r="I40" s="12"/>
      <c r="J40" t="s">
        <v>69</v>
      </c>
      <c r="K40">
        <v>39</v>
      </c>
      <c r="L40" s="16">
        <f t="shared" si="3"/>
        <v>4.860668048</v>
      </c>
      <c r="M40" s="16">
        <f t="shared" si="4"/>
        <v>636.16423412223992</v>
      </c>
      <c r="N40" s="16">
        <f>SUM($M$2:M40)</f>
        <v>16523.16536113152</v>
      </c>
      <c r="O40" s="3"/>
      <c r="P40">
        <v>42</v>
      </c>
      <c r="Q40" s="8">
        <v>2.4940000000000001E-3</v>
      </c>
      <c r="R40" s="1">
        <v>2.5999999999999999E-3</v>
      </c>
      <c r="S40">
        <v>326.89999999999998</v>
      </c>
      <c r="T40">
        <v>106900</v>
      </c>
      <c r="U40">
        <v>1668</v>
      </c>
      <c r="V40">
        <v>6.3020000000000003E-3</v>
      </c>
      <c r="W40">
        <v>1.28</v>
      </c>
      <c r="X40">
        <v>1.882E-2</v>
      </c>
      <c r="Y40">
        <v>0.19600000000000001</v>
      </c>
    </row>
    <row r="41" spans="1:25">
      <c r="B41" t="s">
        <v>77</v>
      </c>
      <c r="C41" s="3">
        <f>C10</f>
        <v>2</v>
      </c>
      <c r="K41">
        <v>40</v>
      </c>
      <c r="L41" s="16">
        <f t="shared" si="3"/>
        <v>4.946119296</v>
      </c>
      <c r="M41" s="16">
        <f t="shared" si="4"/>
        <v>647.34809346047996</v>
      </c>
      <c r="N41" s="16">
        <f>SUM($M$2:M41)</f>
        <v>17170.513454592001</v>
      </c>
      <c r="O41" s="3"/>
      <c r="P41">
        <v>43</v>
      </c>
      <c r="Q41" s="8">
        <v>2.2209999999999999E-3</v>
      </c>
      <c r="R41" s="1">
        <v>2.3E-3</v>
      </c>
      <c r="S41">
        <v>369.6</v>
      </c>
      <c r="T41">
        <v>136600</v>
      </c>
      <c r="U41">
        <v>2103</v>
      </c>
      <c r="V41">
        <v>4.9979999999999998E-3</v>
      </c>
      <c r="W41">
        <v>1.06</v>
      </c>
      <c r="X41">
        <v>1.4930000000000001E-2</v>
      </c>
      <c r="Y41">
        <v>0.152</v>
      </c>
    </row>
    <row r="42" spans="1:25">
      <c r="B42" t="s">
        <v>78</v>
      </c>
      <c r="C42" s="3">
        <f>C9/C10</f>
        <v>0.25</v>
      </c>
      <c r="F42" s="5"/>
      <c r="G42" s="5"/>
      <c r="H42" s="5"/>
      <c r="K42">
        <v>41</v>
      </c>
      <c r="L42" s="16">
        <f t="shared" si="3"/>
        <v>5.0315705439999991</v>
      </c>
      <c r="M42" s="16">
        <f t="shared" si="4"/>
        <v>658.53195279871989</v>
      </c>
      <c r="N42" s="16">
        <f>SUM($M$2:M42)</f>
        <v>17829.04540739072</v>
      </c>
      <c r="O42" s="3"/>
      <c r="P42">
        <v>44</v>
      </c>
      <c r="Q42" s="8">
        <v>1.9780000000000002E-3</v>
      </c>
      <c r="R42" s="1">
        <v>2E-3</v>
      </c>
      <c r="S42" s="4">
        <v>425</v>
      </c>
      <c r="T42">
        <v>180600</v>
      </c>
      <c r="U42">
        <v>2652</v>
      </c>
      <c r="V42">
        <v>3.9639999999999996E-3</v>
      </c>
      <c r="W42">
        <v>0.91600000000000004</v>
      </c>
      <c r="X42">
        <v>1.184E-2</v>
      </c>
      <c r="Y42">
        <v>0.126</v>
      </c>
    </row>
    <row r="43" spans="1:25">
      <c r="B43" t="s">
        <v>79</v>
      </c>
      <c r="C43" s="3">
        <f>C10/C9</f>
        <v>4</v>
      </c>
      <c r="K43">
        <v>42</v>
      </c>
      <c r="L43" s="16">
        <f t="shared" si="3"/>
        <v>5.1170217920000001</v>
      </c>
      <c r="M43" s="16">
        <f t="shared" si="4"/>
        <v>669.71581213696004</v>
      </c>
      <c r="N43" s="16">
        <f>SUM($M$2:M43)</f>
        <v>18498.761219527682</v>
      </c>
      <c r="O43" s="3"/>
      <c r="P43">
        <v>45</v>
      </c>
      <c r="Q43" s="8">
        <v>1.761E-3</v>
      </c>
      <c r="R43" s="1">
        <v>1.8E-3</v>
      </c>
      <c r="S43">
        <v>466.7</v>
      </c>
      <c r="T43">
        <v>217800</v>
      </c>
      <c r="U43">
        <v>3344</v>
      </c>
      <c r="V43">
        <v>3.143E-3</v>
      </c>
      <c r="W43">
        <v>0.78200000000000003</v>
      </c>
      <c r="X43">
        <v>9.3880000000000005E-3</v>
      </c>
      <c r="Y43">
        <v>0.10199999999999999</v>
      </c>
    </row>
    <row r="44" spans="1:25">
      <c r="B44" t="s">
        <v>80</v>
      </c>
      <c r="C44" s="3">
        <f>(C5+C7)/2</f>
        <v>0.5</v>
      </c>
      <c r="K44">
        <v>43</v>
      </c>
      <c r="L44" s="16">
        <f t="shared" si="3"/>
        <v>5.2024730399999992</v>
      </c>
      <c r="M44" s="16">
        <f t="shared" si="4"/>
        <v>680.89967147519985</v>
      </c>
      <c r="N44" s="16">
        <f>SUM($M$2:M44)</f>
        <v>19179.660891002881</v>
      </c>
      <c r="O44" s="3"/>
      <c r="P44">
        <v>46</v>
      </c>
      <c r="Q44" s="8">
        <v>1.5679999999999999E-3</v>
      </c>
      <c r="R44" s="1">
        <v>1.6999999999999999E-3</v>
      </c>
      <c r="S44">
        <v>494.1</v>
      </c>
      <c r="T44">
        <v>244100</v>
      </c>
      <c r="U44">
        <v>4216</v>
      </c>
      <c r="V44">
        <v>2.493E-3</v>
      </c>
      <c r="W44">
        <v>0.65400000000000003</v>
      </c>
      <c r="X44">
        <v>7.4450000000000002E-3</v>
      </c>
      <c r="Y44">
        <v>8.1000000000000003E-2</v>
      </c>
    </row>
    <row r="45" spans="1:25">
      <c r="B45" t="s">
        <v>81</v>
      </c>
      <c r="C45" s="3">
        <f>C40/(2*C44)</f>
        <v>0.5</v>
      </c>
      <c r="K45">
        <v>44</v>
      </c>
      <c r="L45" s="16">
        <f t="shared" si="3"/>
        <v>5.2879242880000001</v>
      </c>
      <c r="M45" s="16">
        <f t="shared" si="4"/>
        <v>692.08353081344001</v>
      </c>
      <c r="N45" s="16">
        <f>SUM($M$2:M45)</f>
        <v>19871.744421816322</v>
      </c>
      <c r="O45" s="3"/>
      <c r="P45">
        <v>47</v>
      </c>
      <c r="Q45" s="8">
        <v>1.397E-3</v>
      </c>
      <c r="R45" s="1">
        <v>1.5E-3</v>
      </c>
      <c r="S45">
        <v>553.29999999999995</v>
      </c>
      <c r="T45">
        <v>306200</v>
      </c>
      <c r="U45">
        <v>5317</v>
      </c>
      <c r="V45">
        <v>1.977E-3</v>
      </c>
      <c r="W45">
        <v>0.53700000000000003</v>
      </c>
      <c r="X45">
        <v>5.9040000000000004E-3</v>
      </c>
      <c r="Y45">
        <v>6.2E-2</v>
      </c>
    </row>
    <row r="46" spans="1:25">
      <c r="K46">
        <v>45</v>
      </c>
      <c r="L46" s="16">
        <f t="shared" si="3"/>
        <v>5.3733755359999993</v>
      </c>
      <c r="M46" s="16">
        <f t="shared" si="4"/>
        <v>703.26739015167993</v>
      </c>
      <c r="N46" s="16">
        <f>SUM($M$2:M46)</f>
        <v>20575.011811968001</v>
      </c>
      <c r="O46" s="3"/>
      <c r="P46">
        <v>48</v>
      </c>
      <c r="Q46" s="8">
        <v>1.2440000000000001E-3</v>
      </c>
      <c r="R46" s="1">
        <v>1.2999999999999999E-3</v>
      </c>
      <c r="S46">
        <v>638.5</v>
      </c>
      <c r="T46">
        <v>407600</v>
      </c>
      <c r="U46">
        <v>6704</v>
      </c>
      <c r="V46">
        <v>1.578E-3</v>
      </c>
      <c r="W46">
        <v>0.42599999999999999</v>
      </c>
      <c r="X46">
        <v>4.6820000000000004E-3</v>
      </c>
      <c r="Y46">
        <v>4.4999999999999998E-2</v>
      </c>
    </row>
    <row r="47" spans="1:25">
      <c r="F47" t="s">
        <v>82</v>
      </c>
      <c r="G47" t="s">
        <v>83</v>
      </c>
      <c r="H47" t="s">
        <v>84</v>
      </c>
      <c r="I47" t="s">
        <v>85</v>
      </c>
      <c r="J47" t="s">
        <v>86</v>
      </c>
      <c r="K47">
        <v>46</v>
      </c>
      <c r="L47" s="16">
        <f t="shared" si="3"/>
        <v>5.4588267840000002</v>
      </c>
      <c r="M47" s="16">
        <f t="shared" si="4"/>
        <v>714.45124948991997</v>
      </c>
      <c r="N47" s="16">
        <f>SUM($M$2:M47)</f>
        <v>21289.463061457922</v>
      </c>
      <c r="O47" s="3"/>
      <c r="P47">
        <v>49</v>
      </c>
      <c r="Q47" s="8">
        <v>1.108E-3</v>
      </c>
      <c r="R47" s="1">
        <v>1.1999999999999999E-3</v>
      </c>
      <c r="S47">
        <v>691.7</v>
      </c>
      <c r="T47">
        <v>478400</v>
      </c>
      <c r="U47">
        <v>8454</v>
      </c>
      <c r="V47">
        <v>1.243E-3</v>
      </c>
      <c r="W47">
        <v>0.373</v>
      </c>
      <c r="X47">
        <v>3.7130000000000002E-3</v>
      </c>
      <c r="Y47">
        <v>3.7999999999999999E-2</v>
      </c>
    </row>
    <row r="48" spans="1:25">
      <c r="A48" s="6" t="s">
        <v>87</v>
      </c>
      <c r="B48" t="s">
        <v>88</v>
      </c>
      <c r="C48" t="s">
        <v>89</v>
      </c>
      <c r="D48" t="s">
        <v>90</v>
      </c>
      <c r="E48" t="s">
        <v>91</v>
      </c>
      <c r="F48" t="s">
        <v>92</v>
      </c>
      <c r="G48" t="s">
        <v>93</v>
      </c>
      <c r="H48" t="s">
        <v>94</v>
      </c>
      <c r="I48" t="s">
        <v>95</v>
      </c>
      <c r="J48" t="s">
        <v>96</v>
      </c>
      <c r="K48">
        <v>47</v>
      </c>
      <c r="L48" s="16">
        <f t="shared" si="3"/>
        <v>5.5442780319999994</v>
      </c>
      <c r="M48" s="16">
        <f t="shared" si="4"/>
        <v>725.6351088281599</v>
      </c>
      <c r="N48" s="16">
        <f>SUM($M$2:M48)</f>
        <v>22015.098170286081</v>
      </c>
      <c r="O48" s="3"/>
      <c r="P48">
        <v>50</v>
      </c>
      <c r="Q48">
        <v>9.8630000000000007E-4</v>
      </c>
      <c r="R48" s="1">
        <v>1.1000000000000001E-3</v>
      </c>
      <c r="S48">
        <v>754.5</v>
      </c>
      <c r="T48">
        <v>569300</v>
      </c>
      <c r="U48">
        <v>10660</v>
      </c>
      <c r="V48">
        <v>9.8590000000000006E-4</v>
      </c>
      <c r="W48">
        <v>0.32400000000000001</v>
      </c>
      <c r="X48">
        <v>2.9450000000000001E-3</v>
      </c>
      <c r="Y48">
        <v>3.2000000000000001E-2</v>
      </c>
    </row>
    <row r="49" spans="1:15">
      <c r="A49" t="s">
        <v>97</v>
      </c>
      <c r="B49" s="1">
        <v>1</v>
      </c>
      <c r="C49" s="1">
        <v>1</v>
      </c>
      <c r="D49" s="1">
        <v>1</v>
      </c>
      <c r="E49" s="1">
        <v>1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>
        <v>48</v>
      </c>
      <c r="L49" s="16">
        <f t="shared" si="3"/>
        <v>5.6297292800000003</v>
      </c>
      <c r="M49" s="16">
        <f t="shared" si="4"/>
        <v>736.81896816640005</v>
      </c>
      <c r="N49" s="16">
        <f>SUM($M$2:M49)</f>
        <v>22751.917138452482</v>
      </c>
      <c r="O49" s="3"/>
    </row>
    <row r="50" spans="1:15">
      <c r="A50" t="s">
        <v>98</v>
      </c>
      <c r="B50" s="1">
        <v>1</v>
      </c>
      <c r="C50" s="1">
        <v>0.90210000000000001</v>
      </c>
      <c r="D50" s="1">
        <v>0.8246</v>
      </c>
      <c r="E50" s="1">
        <v>0.76029999999999998</v>
      </c>
      <c r="F50" s="1">
        <v>0.7056</v>
      </c>
      <c r="G50" s="1">
        <v>0.64419999999999999</v>
      </c>
      <c r="H50" s="1">
        <v>0.54869999999999997</v>
      </c>
      <c r="I50" s="1">
        <v>0.37890000000000001</v>
      </c>
      <c r="J50" s="1">
        <v>0</v>
      </c>
      <c r="K50">
        <v>49</v>
      </c>
      <c r="L50" s="16">
        <f t="shared" si="3"/>
        <v>5.7151805279999994</v>
      </c>
      <c r="M50" s="16">
        <f t="shared" si="4"/>
        <v>748.00282750463987</v>
      </c>
      <c r="N50" s="16">
        <f>SUM($M$2:M50)</f>
        <v>23499.91996595712</v>
      </c>
      <c r="O50" s="3"/>
    </row>
    <row r="51" spans="1:15">
      <c r="A51" t="s">
        <v>99</v>
      </c>
      <c r="B51" s="1">
        <v>1</v>
      </c>
      <c r="C51" s="1">
        <v>0.86560000000000004</v>
      </c>
      <c r="D51" s="1">
        <v>0.76319999999999999</v>
      </c>
      <c r="E51" s="1">
        <v>0.68159999999999998</v>
      </c>
      <c r="F51" s="1">
        <v>0.61480000000000001</v>
      </c>
      <c r="G51" s="1">
        <v>0.54300000000000004</v>
      </c>
      <c r="H51" s="1">
        <v>0.4385</v>
      </c>
      <c r="I51" s="1">
        <v>0.27539999999999998</v>
      </c>
      <c r="J51" s="1">
        <v>0</v>
      </c>
      <c r="K51">
        <v>50</v>
      </c>
      <c r="L51" s="16">
        <f t="shared" si="3"/>
        <v>5.8006317759999995</v>
      </c>
      <c r="M51" s="16">
        <f t="shared" si="4"/>
        <v>759.18668684287991</v>
      </c>
      <c r="N51" s="16">
        <f>SUM($M$2:M51)</f>
        <v>24259.106652800001</v>
      </c>
      <c r="O51" s="3"/>
    </row>
    <row r="52" spans="1:15">
      <c r="A52" t="s">
        <v>100</v>
      </c>
      <c r="B52" s="1">
        <v>1</v>
      </c>
      <c r="C52" s="1">
        <v>0.8347</v>
      </c>
      <c r="D52" s="1">
        <v>0.71460000000000001</v>
      </c>
      <c r="E52" s="1">
        <v>0.62339999999999995</v>
      </c>
      <c r="F52" s="1">
        <v>0.55120000000000002</v>
      </c>
      <c r="G52" s="1">
        <v>0.47689999999999999</v>
      </c>
      <c r="H52" s="1">
        <v>0.374</v>
      </c>
      <c r="I52" s="1">
        <v>0.22500000000000001</v>
      </c>
      <c r="J52" s="1">
        <v>0</v>
      </c>
      <c r="K52">
        <v>51</v>
      </c>
      <c r="L52" s="16">
        <f t="shared" si="3"/>
        <v>5.8860830239999995</v>
      </c>
      <c r="M52" s="16">
        <f t="shared" si="4"/>
        <v>770.37054618111995</v>
      </c>
      <c r="N52" s="16">
        <f>SUM($M$2:M52)</f>
        <v>25029.47719898112</v>
      </c>
      <c r="O52" s="3"/>
    </row>
    <row r="53" spans="1:15">
      <c r="A53" t="s">
        <v>101</v>
      </c>
      <c r="B53" s="1">
        <v>1</v>
      </c>
      <c r="C53" s="1">
        <v>0.81030000000000002</v>
      </c>
      <c r="D53" s="1">
        <v>0.68049999999999999</v>
      </c>
      <c r="E53" s="1">
        <v>0.58389999999999997</v>
      </c>
      <c r="F53" s="1">
        <v>0.51019999999999999</v>
      </c>
      <c r="G53" s="1">
        <v>0.43580000000000002</v>
      </c>
      <c r="H53" s="1">
        <v>0.33600000000000002</v>
      </c>
      <c r="I53" s="1">
        <v>0.1976</v>
      </c>
      <c r="J53" s="1">
        <v>0</v>
      </c>
      <c r="K53">
        <v>52</v>
      </c>
      <c r="L53" s="16">
        <f t="shared" si="3"/>
        <v>5.9715342719999995</v>
      </c>
      <c r="M53" s="16">
        <f t="shared" si="4"/>
        <v>781.55440551935988</v>
      </c>
      <c r="N53" s="16">
        <f>SUM($M$2:M53)</f>
        <v>25811.03160450048</v>
      </c>
      <c r="O53" s="3"/>
    </row>
    <row r="54" spans="1:15" ht="13.5" thickBot="1">
      <c r="K54">
        <v>53</v>
      </c>
      <c r="L54" s="16">
        <f t="shared" si="3"/>
        <v>6.0569855199999996</v>
      </c>
      <c r="M54" s="16">
        <f t="shared" si="4"/>
        <v>792.73826485759992</v>
      </c>
      <c r="N54" s="16">
        <f>SUM($M$2:M54)</f>
        <v>26603.769869358079</v>
      </c>
      <c r="O54" s="3"/>
    </row>
    <row r="55" spans="1:15" ht="13.5" thickBot="1">
      <c r="B55" t="s">
        <v>102</v>
      </c>
      <c r="C55" s="30">
        <v>0.35</v>
      </c>
      <c r="K55">
        <v>54</v>
      </c>
      <c r="L55" s="16">
        <f t="shared" si="3"/>
        <v>6.1424367679999996</v>
      </c>
      <c r="M55" s="16">
        <f t="shared" si="4"/>
        <v>803.92212419583996</v>
      </c>
      <c r="N55" s="16">
        <f>SUM($M$2:M55)</f>
        <v>27407.691993553919</v>
      </c>
      <c r="O55" s="3"/>
    </row>
    <row r="56" spans="1:15">
      <c r="C56" s="33"/>
      <c r="K56">
        <v>55</v>
      </c>
      <c r="L56" s="16">
        <f t="shared" si="3"/>
        <v>6.2278880159999996</v>
      </c>
      <c r="M56" s="16">
        <f t="shared" si="4"/>
        <v>815.10598353407988</v>
      </c>
      <c r="N56" s="16">
        <f>SUM($M$2:M56)</f>
        <v>28222.797977087997</v>
      </c>
      <c r="O56" s="3"/>
    </row>
    <row r="57" spans="1:15">
      <c r="B57" t="s">
        <v>103</v>
      </c>
      <c r="C57" s="3">
        <f>4*3.14159*(LN(8*C44/C40)-0.5+(((C40/(2*C44))^2)/24)*(LN(8*C44/C40)+3.583))</f>
        <v>20.589042250159068</v>
      </c>
      <c r="K57">
        <v>56</v>
      </c>
      <c r="L57" s="16">
        <f t="shared" si="3"/>
        <v>6.3133392639999997</v>
      </c>
      <c r="M57" s="16">
        <f t="shared" si="4"/>
        <v>826.28984287231992</v>
      </c>
      <c r="N57" s="16">
        <f>SUM($M$2:M57)</f>
        <v>29049.087819960318</v>
      </c>
      <c r="O57" s="3"/>
    </row>
    <row r="58" spans="1:15">
      <c r="B58" t="s">
        <v>104</v>
      </c>
      <c r="C58">
        <f>4.95*10^(-5)</f>
        <v>4.9500000000000004E-5</v>
      </c>
      <c r="K58">
        <v>57</v>
      </c>
      <c r="L58" s="16">
        <f t="shared" si="3"/>
        <v>6.3987905119999997</v>
      </c>
      <c r="M58" s="16">
        <f t="shared" si="4"/>
        <v>837.47370221055996</v>
      </c>
      <c r="N58" s="16">
        <f>SUM($M$2:M58)</f>
        <v>29886.561522170876</v>
      </c>
      <c r="O58" s="3"/>
    </row>
    <row r="59" spans="1:15">
      <c r="B59" t="s">
        <v>105</v>
      </c>
      <c r="C59" s="15">
        <f>C18</f>
        <v>4282</v>
      </c>
      <c r="K59">
        <v>58</v>
      </c>
      <c r="L59" s="16">
        <f t="shared" si="3"/>
        <v>6.4842417599999997</v>
      </c>
      <c r="M59" s="16">
        <f t="shared" si="4"/>
        <v>848.65756154879989</v>
      </c>
      <c r="N59" s="16">
        <f>SUM($M$2:M59)</f>
        <v>30735.219083719676</v>
      </c>
      <c r="O59" s="3"/>
    </row>
    <row r="60" spans="1:15">
      <c r="K60">
        <v>59</v>
      </c>
      <c r="L60" s="16">
        <f t="shared" si="3"/>
        <v>6.5696930079999989</v>
      </c>
      <c r="M60" s="16">
        <f t="shared" si="4"/>
        <v>859.84142088703982</v>
      </c>
      <c r="N60" s="16">
        <f>SUM($M$2:M60)</f>
        <v>31595.060504606714</v>
      </c>
      <c r="O60" s="3"/>
    </row>
    <row r="61" spans="1:15">
      <c r="B61" t="s">
        <v>106</v>
      </c>
      <c r="C61" s="15">
        <f>(C58*C44*C59*C59)*C57*C55/(4*3.14159)</f>
        <v>260.2335110089162</v>
      </c>
      <c r="D61" t="s">
        <v>74</v>
      </c>
      <c r="K61">
        <v>60</v>
      </c>
      <c r="L61" s="16">
        <f t="shared" si="3"/>
        <v>6.6551442559999989</v>
      </c>
      <c r="M61" s="16">
        <f t="shared" si="4"/>
        <v>871.02528022527986</v>
      </c>
      <c r="N61" s="16">
        <f>SUM($M$2:M61)</f>
        <v>32466.085784831994</v>
      </c>
      <c r="O61" s="3"/>
    </row>
    <row r="62" spans="1:15">
      <c r="K62">
        <v>61</v>
      </c>
      <c r="L62" s="16">
        <f t="shared" si="3"/>
        <v>6.7405955039999998</v>
      </c>
      <c r="M62" s="16">
        <f t="shared" si="4"/>
        <v>882.2091395635199</v>
      </c>
      <c r="N62" s="16">
        <f>SUM($M$2:M62)</f>
        <v>33348.294924395515</v>
      </c>
      <c r="O62" s="3"/>
    </row>
    <row r="63" spans="1:15">
      <c r="K63">
        <v>62</v>
      </c>
      <c r="L63" s="16">
        <f t="shared" si="3"/>
        <v>6.826046751999999</v>
      </c>
      <c r="M63" s="16">
        <f t="shared" si="4"/>
        <v>893.39299890175982</v>
      </c>
      <c r="N63" s="16">
        <f>SUM($M$2:M63)</f>
        <v>34241.687923297279</v>
      </c>
      <c r="O63" s="3"/>
    </row>
    <row r="64" spans="1:15">
      <c r="K64">
        <v>63</v>
      </c>
      <c r="L64" s="16">
        <f t="shared" si="3"/>
        <v>6.9114979999999999</v>
      </c>
      <c r="M64" s="16">
        <f t="shared" si="4"/>
        <v>904.57685823999998</v>
      </c>
      <c r="N64" s="16">
        <f>SUM($M$2:M64)</f>
        <v>35146.264781537277</v>
      </c>
      <c r="O64" s="3"/>
    </row>
    <row r="65" spans="11:15">
      <c r="K65">
        <v>64</v>
      </c>
      <c r="L65" s="16">
        <f t="shared" si="3"/>
        <v>6.9969492479999991</v>
      </c>
      <c r="M65" s="16">
        <f t="shared" si="4"/>
        <v>915.76071757823979</v>
      </c>
      <c r="N65" s="16">
        <f>SUM($M$2:M65)</f>
        <v>36062.025499115516</v>
      </c>
      <c r="O65" s="3"/>
    </row>
    <row r="66" spans="11:15">
      <c r="K66">
        <v>65</v>
      </c>
      <c r="L66" s="16">
        <f t="shared" ref="L66:L101" si="5">2*3.14159*($C$5+(K66-0.5)*$D$13)</f>
        <v>7.082400496</v>
      </c>
      <c r="M66" s="16">
        <f t="shared" ref="M66:M101" si="6">L66*$C$15</f>
        <v>926.94457691647995</v>
      </c>
      <c r="N66" s="16">
        <f>SUM($M$2:M66)</f>
        <v>36988.970076031997</v>
      </c>
      <c r="O66" s="3"/>
    </row>
    <row r="67" spans="11:15">
      <c r="K67">
        <v>66</v>
      </c>
      <c r="L67" s="16">
        <f t="shared" si="5"/>
        <v>7.167851744</v>
      </c>
      <c r="M67" s="16">
        <f t="shared" si="6"/>
        <v>938.12843625471999</v>
      </c>
      <c r="N67" s="16">
        <f>SUM($M$2:M67)</f>
        <v>37927.098512286721</v>
      </c>
      <c r="O67" s="3"/>
    </row>
    <row r="68" spans="11:15">
      <c r="K68">
        <v>67</v>
      </c>
      <c r="L68" s="16">
        <f t="shared" si="5"/>
        <v>7.2533029919999992</v>
      </c>
      <c r="M68" s="16">
        <f t="shared" si="6"/>
        <v>949.31229559295991</v>
      </c>
      <c r="N68" s="16">
        <f>SUM($M$2:M68)</f>
        <v>38876.410807879678</v>
      </c>
      <c r="O68" s="3"/>
    </row>
    <row r="69" spans="11:15">
      <c r="K69">
        <v>68</v>
      </c>
      <c r="L69" s="16">
        <f t="shared" si="5"/>
        <v>7.3387542399999992</v>
      </c>
      <c r="M69" s="16">
        <f t="shared" si="6"/>
        <v>960.49615493119984</v>
      </c>
      <c r="N69" s="16">
        <f>SUM($M$2:M69)</f>
        <v>39836.906962810877</v>
      </c>
      <c r="O69" s="3"/>
    </row>
    <row r="70" spans="11:15">
      <c r="K70">
        <v>69</v>
      </c>
      <c r="L70" s="16">
        <f t="shared" si="5"/>
        <v>7.4242054879999992</v>
      </c>
      <c r="M70" s="16">
        <f t="shared" si="6"/>
        <v>971.68001426943988</v>
      </c>
      <c r="N70" s="16">
        <f>SUM($M$2:M70)</f>
        <v>40808.586977080318</v>
      </c>
      <c r="O70" s="3"/>
    </row>
    <row r="71" spans="11:15">
      <c r="K71">
        <v>70</v>
      </c>
      <c r="L71" s="16">
        <f t="shared" si="5"/>
        <v>7.5096567359999984</v>
      </c>
      <c r="M71" s="16">
        <f t="shared" si="6"/>
        <v>982.86387360767981</v>
      </c>
      <c r="N71" s="16">
        <f>SUM($M$2:M71)</f>
        <v>41791.450850688001</v>
      </c>
      <c r="O71" s="3"/>
    </row>
    <row r="72" spans="11:15">
      <c r="K72">
        <v>71</v>
      </c>
      <c r="L72" s="16">
        <f t="shared" si="5"/>
        <v>7.5951079840000002</v>
      </c>
      <c r="M72" s="16">
        <f t="shared" si="6"/>
        <v>994.04773294591996</v>
      </c>
      <c r="N72" s="16">
        <f>SUM($M$2:M72)</f>
        <v>42785.498583633918</v>
      </c>
      <c r="O72" s="3"/>
    </row>
    <row r="73" spans="11:15">
      <c r="K73">
        <v>72</v>
      </c>
      <c r="L73" s="16">
        <f t="shared" si="5"/>
        <v>7.6805592319999993</v>
      </c>
      <c r="M73" s="16">
        <f t="shared" si="6"/>
        <v>1005.2315922841599</v>
      </c>
      <c r="N73" s="16">
        <f>SUM($M$2:M73)</f>
        <v>43790.730175918077</v>
      </c>
      <c r="O73" s="3"/>
    </row>
    <row r="74" spans="11:15">
      <c r="K74">
        <v>73</v>
      </c>
      <c r="L74" s="16">
        <f t="shared" si="5"/>
        <v>7.7660104799999994</v>
      </c>
      <c r="M74" s="16">
        <f t="shared" si="6"/>
        <v>1016.4154516223999</v>
      </c>
      <c r="N74" s="16">
        <f>SUM($M$2:M74)</f>
        <v>44807.145627540478</v>
      </c>
      <c r="O74" s="3"/>
    </row>
    <row r="75" spans="11:15">
      <c r="K75">
        <v>74</v>
      </c>
      <c r="L75" s="16">
        <f t="shared" si="5"/>
        <v>7.8514617280000003</v>
      </c>
      <c r="M75" s="16">
        <f t="shared" si="6"/>
        <v>1027.59931096064</v>
      </c>
      <c r="N75" s="16">
        <f>SUM($M$2:M75)</f>
        <v>45834.74493850112</v>
      </c>
      <c r="O75" s="3"/>
    </row>
    <row r="76" spans="11:15">
      <c r="K76">
        <v>75</v>
      </c>
      <c r="L76" s="16">
        <f t="shared" si="5"/>
        <v>7.9369129759999986</v>
      </c>
      <c r="M76" s="16">
        <f t="shared" si="6"/>
        <v>1038.7831702988797</v>
      </c>
      <c r="N76" s="16">
        <f>SUM($M$2:M76)</f>
        <v>46873.528108799997</v>
      </c>
      <c r="O76" s="3"/>
    </row>
    <row r="77" spans="11:15">
      <c r="K77">
        <v>76</v>
      </c>
      <c r="L77" s="16">
        <f t="shared" si="5"/>
        <v>8.0223642239999986</v>
      </c>
      <c r="M77" s="16">
        <f t="shared" si="6"/>
        <v>1049.9670296371198</v>
      </c>
      <c r="N77" s="16">
        <f>SUM($M$2:M77)</f>
        <v>47923.495138437116</v>
      </c>
      <c r="O77" s="3"/>
    </row>
    <row r="78" spans="11:15">
      <c r="K78">
        <v>77</v>
      </c>
      <c r="L78" s="16">
        <f t="shared" si="5"/>
        <v>8.1078154720000004</v>
      </c>
      <c r="M78" s="16">
        <f t="shared" si="6"/>
        <v>1061.15088897536</v>
      </c>
      <c r="N78" s="16">
        <f>SUM($M$2:M78)</f>
        <v>48984.646027412477</v>
      </c>
      <c r="O78" s="3"/>
    </row>
    <row r="79" spans="11:15">
      <c r="K79">
        <v>78</v>
      </c>
      <c r="L79" s="16">
        <f t="shared" si="5"/>
        <v>8.1932667200000004</v>
      </c>
      <c r="M79" s="16">
        <f t="shared" si="6"/>
        <v>1072.3347483136001</v>
      </c>
      <c r="N79" s="16">
        <f>SUM($M$2:M79)</f>
        <v>50056.980775726079</v>
      </c>
      <c r="O79" s="3"/>
    </row>
    <row r="80" spans="11:15">
      <c r="K80">
        <v>79</v>
      </c>
      <c r="L80" s="16">
        <f t="shared" si="5"/>
        <v>8.2787179679999987</v>
      </c>
      <c r="M80" s="16">
        <f t="shared" si="6"/>
        <v>1083.5186076518398</v>
      </c>
      <c r="N80" s="16">
        <f>SUM($M$2:M80)</f>
        <v>51140.499383377915</v>
      </c>
      <c r="O80" s="3"/>
    </row>
    <row r="81" spans="11:15">
      <c r="K81">
        <v>80</v>
      </c>
      <c r="L81" s="16">
        <f t="shared" si="5"/>
        <v>8.3641692159999987</v>
      </c>
      <c r="M81" s="16">
        <f t="shared" si="6"/>
        <v>1094.7024669900798</v>
      </c>
      <c r="N81" s="16">
        <f>SUM($M$2:M81)</f>
        <v>52235.201850367994</v>
      </c>
      <c r="O81" s="3"/>
    </row>
    <row r="82" spans="11:15">
      <c r="K82">
        <v>81</v>
      </c>
      <c r="L82" s="16">
        <f t="shared" si="5"/>
        <v>8.4496204639999988</v>
      </c>
      <c r="M82" s="16">
        <f t="shared" si="6"/>
        <v>1105.8863263283199</v>
      </c>
      <c r="N82" s="16">
        <f>SUM($M$2:M82)</f>
        <v>53341.088176696314</v>
      </c>
      <c r="O82" s="3"/>
    </row>
    <row r="83" spans="11:15">
      <c r="K83">
        <v>82</v>
      </c>
      <c r="L83" s="16">
        <f t="shared" si="5"/>
        <v>8.5350717119999988</v>
      </c>
      <c r="M83" s="16">
        <f t="shared" si="6"/>
        <v>1117.0701856665598</v>
      </c>
      <c r="N83" s="16">
        <f>SUM($M$2:M83)</f>
        <v>54458.158362362876</v>
      </c>
      <c r="O83" s="3"/>
    </row>
    <row r="84" spans="11:15">
      <c r="K84">
        <v>83</v>
      </c>
      <c r="L84" s="16">
        <f t="shared" si="5"/>
        <v>8.6205229599999988</v>
      </c>
      <c r="M84" s="16">
        <f t="shared" si="6"/>
        <v>1128.2540450047998</v>
      </c>
      <c r="N84" s="16">
        <f>SUM($M$2:M84)</f>
        <v>55586.412407367672</v>
      </c>
      <c r="O84" s="3"/>
    </row>
    <row r="85" spans="11:15">
      <c r="K85">
        <v>84</v>
      </c>
      <c r="L85" s="16">
        <f t="shared" si="5"/>
        <v>8.7059742079999989</v>
      </c>
      <c r="M85" s="16">
        <f t="shared" si="6"/>
        <v>1139.4379043430399</v>
      </c>
      <c r="N85" s="16">
        <f>SUM($M$2:M85)</f>
        <v>56725.85031171071</v>
      </c>
      <c r="O85" s="3"/>
    </row>
    <row r="86" spans="11:15">
      <c r="K86">
        <v>85</v>
      </c>
      <c r="L86" s="16">
        <f t="shared" si="5"/>
        <v>8.7914254559999989</v>
      </c>
      <c r="M86" s="16">
        <f t="shared" si="6"/>
        <v>1150.6217636812798</v>
      </c>
      <c r="N86" s="16">
        <f>SUM($M$2:M86)</f>
        <v>57876.47207539199</v>
      </c>
      <c r="O86" s="3"/>
    </row>
    <row r="87" spans="11:15">
      <c r="K87">
        <v>86</v>
      </c>
      <c r="L87" s="16">
        <f t="shared" si="5"/>
        <v>8.876876703999999</v>
      </c>
      <c r="M87" s="16">
        <f t="shared" si="6"/>
        <v>1161.8056230195198</v>
      </c>
      <c r="N87" s="16">
        <f>SUM($M$2:M87)</f>
        <v>59038.277698411512</v>
      </c>
      <c r="O87" s="3"/>
    </row>
    <row r="88" spans="11:15">
      <c r="K88">
        <v>87</v>
      </c>
      <c r="L88" s="16">
        <f t="shared" si="5"/>
        <v>8.962327951999999</v>
      </c>
      <c r="M88" s="16">
        <f t="shared" si="6"/>
        <v>1172.9894823577599</v>
      </c>
      <c r="N88" s="16">
        <f>SUM($M$2:M88)</f>
        <v>60211.267180769275</v>
      </c>
      <c r="O88" s="3"/>
    </row>
    <row r="89" spans="11:15">
      <c r="K89">
        <v>88</v>
      </c>
      <c r="L89" s="16">
        <f t="shared" si="5"/>
        <v>9.047779199999999</v>
      </c>
      <c r="M89" s="16">
        <f t="shared" si="6"/>
        <v>1184.1733416959999</v>
      </c>
      <c r="N89" s="16">
        <f>SUM($M$2:M89)</f>
        <v>61395.440522465273</v>
      </c>
      <c r="O89" s="3"/>
    </row>
    <row r="90" spans="11:15">
      <c r="K90">
        <v>89</v>
      </c>
      <c r="L90" s="16">
        <f t="shared" si="5"/>
        <v>9.1332304479999991</v>
      </c>
      <c r="M90" s="16">
        <f t="shared" si="6"/>
        <v>1195.3572010342398</v>
      </c>
      <c r="N90" s="16">
        <f>SUM($M$2:M90)</f>
        <v>62590.797723499512</v>
      </c>
      <c r="O90" s="3"/>
    </row>
    <row r="91" spans="11:15">
      <c r="K91">
        <v>90</v>
      </c>
      <c r="L91" s="16">
        <f t="shared" si="5"/>
        <v>9.2186816959999991</v>
      </c>
      <c r="M91" s="16">
        <f t="shared" si="6"/>
        <v>1206.5410603724799</v>
      </c>
      <c r="N91" s="16">
        <f>SUM($M$2:M91)</f>
        <v>63797.338783871994</v>
      </c>
      <c r="O91" s="3"/>
    </row>
    <row r="92" spans="11:15">
      <c r="K92">
        <v>91</v>
      </c>
      <c r="L92" s="16">
        <f t="shared" si="5"/>
        <v>9.3041329439999991</v>
      </c>
      <c r="M92" s="16">
        <f t="shared" si="6"/>
        <v>1217.7249197107199</v>
      </c>
      <c r="N92" s="16">
        <f>SUM($M$2:M92)</f>
        <v>65015.063703582717</v>
      </c>
      <c r="O92" s="3"/>
    </row>
    <row r="93" spans="11:15">
      <c r="K93">
        <v>92</v>
      </c>
      <c r="L93" s="16">
        <f t="shared" si="5"/>
        <v>9.3895841919999992</v>
      </c>
      <c r="M93" s="16">
        <f t="shared" si="6"/>
        <v>1228.9087790489598</v>
      </c>
      <c r="N93" s="16">
        <f>SUM($M$2:M93)</f>
        <v>66243.972482631681</v>
      </c>
      <c r="O93" s="3"/>
    </row>
    <row r="94" spans="11:15">
      <c r="K94">
        <v>93</v>
      </c>
      <c r="L94" s="16">
        <f t="shared" si="5"/>
        <v>9.4750354399999992</v>
      </c>
      <c r="M94" s="16">
        <f t="shared" si="6"/>
        <v>1240.0926383871999</v>
      </c>
      <c r="N94" s="16">
        <f>SUM($M$2:M94)</f>
        <v>67484.065121018881</v>
      </c>
      <c r="O94" s="3"/>
    </row>
    <row r="95" spans="11:15">
      <c r="K95">
        <v>94</v>
      </c>
      <c r="L95" s="16">
        <f t="shared" si="5"/>
        <v>9.5604866879999992</v>
      </c>
      <c r="M95" s="16">
        <f t="shared" si="6"/>
        <v>1251.2764977254399</v>
      </c>
      <c r="N95" s="16">
        <f>SUM($M$2:M95)</f>
        <v>68735.341618744322</v>
      </c>
      <c r="O95" s="3"/>
    </row>
    <row r="96" spans="11:15">
      <c r="K96">
        <v>95</v>
      </c>
      <c r="L96" s="16">
        <f t="shared" si="5"/>
        <v>9.6459379359999993</v>
      </c>
      <c r="M96" s="16">
        <f t="shared" si="6"/>
        <v>1262.4603570636798</v>
      </c>
      <c r="N96" s="16">
        <f>SUM($M$2:M96)</f>
        <v>69997.801975808004</v>
      </c>
      <c r="O96" s="3"/>
    </row>
    <row r="97" spans="11:15">
      <c r="K97">
        <v>96</v>
      </c>
      <c r="L97" s="16">
        <f t="shared" si="5"/>
        <v>9.7313891839999993</v>
      </c>
      <c r="M97" s="16">
        <f t="shared" si="6"/>
        <v>1273.6442164019199</v>
      </c>
      <c r="N97" s="16">
        <f>SUM($M$2:M97)</f>
        <v>71271.446192209929</v>
      </c>
      <c r="O97" s="3"/>
    </row>
    <row r="98" spans="11:15">
      <c r="K98">
        <v>97</v>
      </c>
      <c r="L98" s="16">
        <f t="shared" si="5"/>
        <v>9.8168404319999993</v>
      </c>
      <c r="M98" s="16">
        <f t="shared" si="6"/>
        <v>1284.8280757401599</v>
      </c>
      <c r="N98" s="16">
        <f>SUM($M$2:M98)</f>
        <v>72556.274267950095</v>
      </c>
      <c r="O98" s="3"/>
    </row>
    <row r="99" spans="11:15">
      <c r="K99">
        <v>98</v>
      </c>
      <c r="L99" s="16">
        <f t="shared" si="5"/>
        <v>9.9022916799999994</v>
      </c>
      <c r="M99" s="16">
        <f t="shared" si="6"/>
        <v>1296.0119350783998</v>
      </c>
      <c r="N99" s="16">
        <f>SUM($M$2:M99)</f>
        <v>73852.286203028489</v>
      </c>
      <c r="O99" s="3"/>
    </row>
    <row r="100" spans="11:15">
      <c r="K100">
        <v>99</v>
      </c>
      <c r="L100" s="16">
        <f t="shared" si="5"/>
        <v>9.9877429279999994</v>
      </c>
      <c r="M100" s="16">
        <f t="shared" si="6"/>
        <v>1307.19579441664</v>
      </c>
      <c r="N100" s="16">
        <f>SUM($M$2:M100)</f>
        <v>75159.481997445124</v>
      </c>
      <c r="O100" s="3"/>
    </row>
    <row r="101" spans="11:15">
      <c r="K101">
        <v>100</v>
      </c>
      <c r="L101" s="16">
        <f t="shared" si="5"/>
        <v>10.073194175999999</v>
      </c>
      <c r="M101" s="16">
        <f t="shared" si="6"/>
        <v>1318.3796537548799</v>
      </c>
      <c r="N101" s="16">
        <f>SUM($M$2:M101)</f>
        <v>76477.861651200001</v>
      </c>
      <c r="O101" s="3"/>
    </row>
  </sheetData>
  <mergeCells count="2">
    <mergeCell ref="A1:J1"/>
    <mergeCell ref="H6:I6"/>
  </mergeCells>
  <printOptions gridLines="1" gridLinesSet="0"/>
  <pageMargins left="0.75" right="1.4" top="0.51" bottom="0.51" header="0.32" footer="0.31"/>
  <pageSetup orientation="landscape" horizontalDpi="300" verticalDpi="300" r:id="rId1"/>
  <headerFooter alignWithMargins="0">
    <oddHeader>&amp;R&amp;D
&amp;T
rh</oddHeader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file</dc:title>
  <dc:creator>Hoadley</dc:creator>
  <cp:lastModifiedBy>Nick</cp:lastModifiedBy>
  <dcterms:created xsi:type="dcterms:W3CDTF">2011-02-02T03:55:15Z</dcterms:created>
  <dcterms:modified xsi:type="dcterms:W3CDTF">2015-04-12T23:47:02Z</dcterms:modified>
</cp:coreProperties>
</file>