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195" windowHeight="5475" activeTab="0"/>
  </bookViews>
  <sheets>
    <sheet name="KTY_WAS" sheetId="1" r:id="rId1"/>
  </sheets>
  <definedNames/>
  <calcPr fullCalcOnLoad="1"/>
</workbook>
</file>

<file path=xl/sharedStrings.xml><?xml version="1.0" encoding="utf-8"?>
<sst xmlns="http://schemas.openxmlformats.org/spreadsheetml/2006/main" count="87" uniqueCount="68">
  <si>
    <t>Teiler-T1</t>
  </si>
  <si>
    <t>Teiler-T2</t>
  </si>
  <si>
    <t>T-Schritt</t>
  </si>
  <si>
    <t>Teiler/K</t>
  </si>
  <si>
    <t>T-Bezug</t>
  </si>
  <si>
    <t>Temperatur</t>
  </si>
  <si>
    <t>R-Temp</t>
  </si>
  <si>
    <t>Teiler</t>
  </si>
  <si>
    <t>Lin-Teiler</t>
  </si>
  <si>
    <t>Fehl-Temp</t>
  </si>
  <si>
    <t>T-Fehl-max</t>
  </si>
  <si>
    <t>T-Fehl-min</t>
  </si>
  <si>
    <t>Hilfsgrößen</t>
  </si>
  <si>
    <t>Tabellenparameter</t>
  </si>
  <si>
    <t>Tabellenhilfsgrößen</t>
  </si>
  <si>
    <r>
      <t>R</t>
    </r>
    <r>
      <rPr>
        <sz val="8"/>
        <rFont val="Arial"/>
        <family val="2"/>
      </rPr>
      <t>kty</t>
    </r>
  </si>
  <si>
    <r>
      <rPr>
        <sz val="10"/>
        <rFont val="Arial"/>
        <family val="2"/>
      </rPr>
      <t>Ω</t>
    </r>
    <r>
      <rPr>
        <sz val="10"/>
        <rFont val="Sans Serif 12cpi"/>
        <family val="0"/>
      </rPr>
      <t>/K</t>
    </r>
  </si>
  <si>
    <t>mV/K</t>
  </si>
  <si>
    <t>Ω</t>
  </si>
  <si>
    <t>KTY-Linearisierung</t>
  </si>
  <si>
    <t>Vorwiderstandsberechnung und Fehlerbestimmung</t>
  </si>
  <si>
    <t>gemessen</t>
  </si>
  <si>
    <t>KTY81-Parameter</t>
  </si>
  <si>
    <t>A=</t>
  </si>
  <si>
    <t>B=</t>
  </si>
  <si>
    <t>C=</t>
  </si>
  <si>
    <t>°C</t>
  </si>
  <si>
    <t>V</t>
  </si>
  <si>
    <t>mA</t>
  </si>
  <si>
    <t>Steigung</t>
  </si>
  <si>
    <t>Rth</t>
  </si>
  <si>
    <t>Eigenerwärung</t>
  </si>
  <si>
    <t>K/mW</t>
  </si>
  <si>
    <t>Ukty</t>
  </si>
  <si>
    <t>Spannung Vs</t>
  </si>
  <si>
    <t>Strom@Tm</t>
  </si>
  <si>
    <t>geschätzt</t>
  </si>
  <si>
    <t>1. Parameter wählen</t>
  </si>
  <si>
    <t>Spannung, Temperaturbereich</t>
  </si>
  <si>
    <t>2. Rlin-Berechnung</t>
  </si>
  <si>
    <t>Rlin optimal</t>
  </si>
  <si>
    <t>3. Rs-, Rp-Berechnung zur Stromreduzierung</t>
  </si>
  <si>
    <t>Rlin=(Rm*(R1+R2)-2*R1*R2)/(R1+R2-2*Rm)</t>
  </si>
  <si>
    <t>Kal-Temp T1</t>
  </si>
  <si>
    <t>Kal-Temp T2</t>
  </si>
  <si>
    <t>R@T2  R2=</t>
  </si>
  <si>
    <t>R@T1  R1=</t>
  </si>
  <si>
    <t>T-Mitte  Tm</t>
  </si>
  <si>
    <t>R-Mitte  Rm</t>
  </si>
  <si>
    <t>Rs=</t>
  </si>
  <si>
    <t>Rp=</t>
  </si>
  <si>
    <t>aus Rlin=Rs//Rp</t>
  </si>
  <si>
    <t>Is=</t>
  </si>
  <si>
    <t>Rs=Vs/Is*1000/(Rm/Rv+1)</t>
  </si>
  <si>
    <t>ergibt</t>
  </si>
  <si>
    <t>Rlin=</t>
  </si>
  <si>
    <t>Vorwiderstand  für Grafik und Tabelle</t>
  </si>
  <si>
    <t>Rlin gewählt</t>
  </si>
  <si>
    <t>Ω/K</t>
  </si>
  <si>
    <t>Ω/K²</t>
  </si>
  <si>
    <t>Ω/K³</t>
  </si>
  <si>
    <t>mA gewählt</t>
  </si>
  <si>
    <t>4. Real eingesetzte Werte</t>
  </si>
  <si>
    <t>Rp=1/(1/Rlin-1/Rs)</t>
  </si>
  <si>
    <t>Fehler Max</t>
  </si>
  <si>
    <t>Fehler Min</t>
  </si>
  <si>
    <t>T1&lt;=T&lt;=T3</t>
  </si>
  <si>
    <t>Fehler für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</si>
</sst>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00"/>
    <numFmt numFmtId="173" formatCode="0.0000"/>
    <numFmt numFmtId="174" formatCode="0.0"/>
    <numFmt numFmtId="175" formatCode="0.000000"/>
    <numFmt numFmtId="176" formatCode="0.00000000"/>
    <numFmt numFmtId="177" formatCode="0.0000000"/>
    <numFmt numFmtId="178" formatCode="0.000"/>
    <numFmt numFmtId="179" formatCode="&quot;Ja&quot;;&quot;Ja&quot;;&quot;Nein&quot;"/>
    <numFmt numFmtId="180" formatCode="&quot;Wahr&quot;;&quot;Wahr&quot;;&quot;Falsch&quot;"/>
    <numFmt numFmtId="181" formatCode="&quot;Ein&quot;;&quot;Ein&quot;;&quot;Aus&quot;"/>
    <numFmt numFmtId="182" formatCode="[$€-2]\ #,##0.00_);[Red]\([$€-2]\ #,##0.00\)"/>
  </numFmts>
  <fonts count="55">
    <font>
      <sz val="10"/>
      <name val="Roman 12cpi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2"/>
    </font>
    <font>
      <sz val="10"/>
      <name val="Sans Serif 12cpi"/>
      <family val="0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0"/>
      <name val="Sans Serif 12cp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Roman 12cpi"/>
      <family val="0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Roman 12cpi"/>
      <family val="0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+mn-ea"/>
      <family val="0"/>
    </font>
    <font>
      <b/>
      <sz val="18"/>
      <color indexed="8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Roman 12cpi"/>
      <family val="0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Roman 12cpi"/>
      <family val="0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0" fontId="4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40" fontId="4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9" fontId="4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167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2" borderId="9" applyNumberFormat="0" applyAlignment="0" applyProtection="0"/>
  </cellStyleXfs>
  <cellXfs count="25">
    <xf numFmtId="0" fontId="0" fillId="0" borderId="0" xfId="0" applyAlignment="1">
      <alignment/>
    </xf>
    <xf numFmtId="0" fontId="5" fillId="0" borderId="0" xfId="0" applyFont="1" applyAlignment="1">
      <alignment/>
    </xf>
    <xf numFmtId="173" fontId="5" fillId="0" borderId="0" xfId="0" applyNumberFormat="1" applyFont="1" applyAlignment="1">
      <alignment/>
    </xf>
    <xf numFmtId="0" fontId="6" fillId="0" borderId="0" xfId="0" applyFont="1" applyAlignment="1">
      <alignment/>
    </xf>
    <xf numFmtId="1" fontId="6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174" fontId="6" fillId="0" borderId="0" xfId="0" applyNumberFormat="1" applyFont="1" applyAlignment="1">
      <alignment/>
    </xf>
    <xf numFmtId="173" fontId="6" fillId="0" borderId="0" xfId="0" applyNumberFormat="1" applyFont="1" applyAlignment="1">
      <alignment/>
    </xf>
    <xf numFmtId="175" fontId="6" fillId="0" borderId="0" xfId="0" applyNumberFormat="1" applyFont="1" applyAlignment="1">
      <alignment/>
    </xf>
    <xf numFmtId="0" fontId="7" fillId="0" borderId="10" xfId="0" applyFont="1" applyBorder="1" applyAlignment="1">
      <alignment horizontal="right"/>
    </xf>
    <xf numFmtId="0" fontId="7" fillId="0" borderId="0" xfId="0" applyFont="1" applyAlignment="1">
      <alignment/>
    </xf>
    <xf numFmtId="0" fontId="6" fillId="0" borderId="0" xfId="0" applyFont="1" applyAlignment="1">
      <alignment horizontal="right"/>
    </xf>
    <xf numFmtId="2" fontId="5" fillId="0" borderId="0" xfId="0" applyNumberFormat="1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74" fontId="7" fillId="0" borderId="11" xfId="0" applyNumberFormat="1" applyFont="1" applyBorder="1" applyAlignment="1">
      <alignment/>
    </xf>
    <xf numFmtId="0" fontId="6" fillId="0" borderId="0" xfId="0" applyFont="1" applyAlignment="1">
      <alignment horizontal="left"/>
    </xf>
    <xf numFmtId="1" fontId="5" fillId="0" borderId="0" xfId="0" applyNumberFormat="1" applyFont="1" applyAlignment="1">
      <alignment/>
    </xf>
    <xf numFmtId="0" fontId="11" fillId="0" borderId="0" xfId="0" applyFont="1" applyAlignment="1">
      <alignment/>
    </xf>
    <xf numFmtId="178" fontId="5" fillId="0" borderId="0" xfId="0" applyNumberFormat="1" applyFont="1" applyAlignment="1">
      <alignment/>
    </xf>
    <xf numFmtId="1" fontId="7" fillId="0" borderId="11" xfId="0" applyNumberFormat="1" applyFont="1" applyBorder="1" applyAlignment="1">
      <alignment/>
    </xf>
    <xf numFmtId="172" fontId="5" fillId="0" borderId="0" xfId="0" applyNumberFormat="1" applyFont="1" applyAlignment="1">
      <alignment/>
    </xf>
    <xf numFmtId="178" fontId="6" fillId="0" borderId="0" xfId="0" applyNumberFormat="1" applyFont="1" applyBorder="1" applyAlignment="1">
      <alignment/>
    </xf>
    <xf numFmtId="0" fontId="7" fillId="0" borderId="10" xfId="0" applyFont="1" applyBorder="1" applyAlignment="1">
      <alignment horizontal="left"/>
    </xf>
    <xf numFmtId="1" fontId="11" fillId="0" borderId="0" xfId="0" applyNumberFormat="1" applyFont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Linearisierung durch Rv</a:t>
            </a:r>
          </a:p>
        </c:rich>
      </c:tx>
      <c:layout>
        <c:manualLayout>
          <c:xMode val="factor"/>
          <c:yMode val="factor"/>
          <c:x val="0.008"/>
          <c:y val="-0.03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75"/>
          <c:y val="0.0485"/>
          <c:w val="0.98025"/>
          <c:h val="0.954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KTY_WAS!$B$55</c:f>
              <c:strCache>
                <c:ptCount val="1"/>
                <c:pt idx="0">
                  <c:v>R-Temp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KTY_WAS!$A$56:$A$76</c:f>
              <c:numCache/>
            </c:numRef>
          </c:xVal>
          <c:yVal>
            <c:numRef>
              <c:f>KTY_WAS!$B$56:$B$76</c:f>
              <c:numCache/>
            </c:numRef>
          </c:yVal>
          <c:smooth val="1"/>
        </c:ser>
        <c:axId val="66210820"/>
        <c:axId val="59026469"/>
      </c:scatterChart>
      <c:scatterChart>
        <c:scatterStyle val="smoothMarker"/>
        <c:varyColors val="0"/>
        <c:ser>
          <c:idx val="1"/>
          <c:order val="1"/>
          <c:tx>
            <c:strRef>
              <c:f>KTY_WAS!$F$55</c:f>
              <c:strCache>
                <c:ptCount val="1"/>
                <c:pt idx="0">
                  <c:v>Fehl-Temp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KTY_WAS!$A$56:$A$76</c:f>
              <c:numCache/>
            </c:numRef>
          </c:xVal>
          <c:yVal>
            <c:numRef>
              <c:f>KTY_WAS!$F$56:$F$76</c:f>
              <c:numCache/>
            </c:numRef>
          </c:yVal>
          <c:smooth val="1"/>
        </c:ser>
        <c:axId val="61476174"/>
        <c:axId val="16414655"/>
      </c:scatterChart>
      <c:valAx>
        <c:axId val="66210820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Temp[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°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C]</a:t>
                </a:r>
              </a:p>
            </c:rich>
          </c:tx>
          <c:layout>
            <c:manualLayout>
              <c:xMode val="factor"/>
              <c:yMode val="factor"/>
              <c:x val="0.02875"/>
              <c:y val="0.1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026469"/>
        <c:crosses val="autoZero"/>
        <c:crossBetween val="midCat"/>
        <c:dispUnits/>
        <c:majorUnit val="10"/>
      </c:valAx>
      <c:valAx>
        <c:axId val="59026469"/>
        <c:scaling>
          <c:orientation val="minMax"/>
          <c:max val="1800"/>
          <c:min val="8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R-KTY [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Ω]</a:t>
                </a:r>
              </a:p>
            </c:rich>
          </c:tx>
          <c:layout>
            <c:manualLayout>
              <c:xMode val="factor"/>
              <c:yMode val="factor"/>
              <c:x val="0.042"/>
              <c:y val="0.13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210820"/>
        <c:crosses val="autoZero"/>
        <c:crossBetween val="midCat"/>
        <c:dispUnits/>
        <c:majorUnit val="100"/>
      </c:valAx>
      <c:valAx>
        <c:axId val="61476174"/>
        <c:scaling>
          <c:orientation val="minMax"/>
        </c:scaling>
        <c:axPos val="b"/>
        <c:delete val="1"/>
        <c:majorTickMark val="out"/>
        <c:minorTickMark val="none"/>
        <c:tickLblPos val="nextTo"/>
        <c:crossAx val="16414655"/>
        <c:crosses val="max"/>
        <c:crossBetween val="midCat"/>
        <c:dispUnits/>
      </c:valAx>
      <c:valAx>
        <c:axId val="16414655"/>
        <c:scaling>
          <c:orientation val="minMax"/>
          <c:max val="0.25"/>
          <c:min val="-0.2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Fehl [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°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C]</a:t>
                </a:r>
              </a:p>
            </c:rich>
          </c:tx>
          <c:layout>
            <c:manualLayout>
              <c:xMode val="factor"/>
              <c:yMode val="factor"/>
              <c:x val="0.0405"/>
              <c:y val="0.13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476174"/>
        <c:crosses val="max"/>
        <c:crossBetween val="midCat"/>
        <c:dispUnits/>
        <c:majorUnit val="0.05"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125"/>
          <c:y val="0.0915"/>
          <c:w val="0.64075"/>
          <c:h val="0.060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29</xdr:row>
      <xdr:rowOff>85725</xdr:rowOff>
    </xdr:from>
    <xdr:to>
      <xdr:col>7</xdr:col>
      <xdr:colOff>314325</xdr:colOff>
      <xdr:row>52</xdr:row>
      <xdr:rowOff>85725</xdr:rowOff>
    </xdr:to>
    <xdr:graphicFrame>
      <xdr:nvGraphicFramePr>
        <xdr:cNvPr id="1" name="Diagramm 1"/>
        <xdr:cNvGraphicFramePr/>
      </xdr:nvGraphicFramePr>
      <xdr:xfrm>
        <a:off x="66675" y="5143500"/>
        <a:ext cx="55816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0</xdr:colOff>
      <xdr:row>11</xdr:row>
      <xdr:rowOff>104775</xdr:rowOff>
    </xdr:from>
    <xdr:to>
      <xdr:col>9</xdr:col>
      <xdr:colOff>676275</xdr:colOff>
      <xdr:row>18</xdr:row>
      <xdr:rowOff>66675</xdr:rowOff>
    </xdr:to>
    <xdr:pic>
      <xdr:nvPicPr>
        <xdr:cNvPr id="2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0" y="2095500"/>
          <a:ext cx="2428875" cy="11906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3"/>
  <sheetViews>
    <sheetView tabSelected="1" zoomScalePageLayoutView="0" workbookViewId="0" topLeftCell="A1">
      <selection activeCell="J28" sqref="J28"/>
    </sheetView>
  </sheetViews>
  <sheetFormatPr defaultColWidth="11.00390625" defaultRowHeight="12.75"/>
  <cols>
    <col min="1" max="1" width="11.875" style="1" customWidth="1"/>
    <col min="2" max="2" width="11.00390625" style="1" customWidth="1"/>
    <col min="3" max="3" width="10.75390625" style="1" customWidth="1"/>
    <col min="4" max="4" width="11.25390625" style="1" customWidth="1"/>
    <col min="5" max="5" width="10.00390625" style="1" customWidth="1"/>
    <col min="6" max="6" width="8.875" style="1" customWidth="1"/>
    <col min="7" max="7" width="6.25390625" style="1" customWidth="1"/>
    <col min="8" max="8" width="9.75390625" style="1" customWidth="1"/>
    <col min="9" max="9" width="7.00390625" style="1" customWidth="1"/>
    <col min="10" max="255" width="11.875" style="1" customWidth="1"/>
    <col min="256" max="16384" width="11.375" style="1" customWidth="1"/>
  </cols>
  <sheetData>
    <row r="1" spans="1:7" ht="23.25">
      <c r="A1" s="14" t="s">
        <v>19</v>
      </c>
      <c r="B1" s="3"/>
      <c r="D1" s="10"/>
      <c r="E1" s="3"/>
      <c r="F1" s="3"/>
      <c r="G1" s="3"/>
    </row>
    <row r="2" spans="1:11" ht="15.75">
      <c r="A2" s="13" t="s">
        <v>20</v>
      </c>
      <c r="D2" s="3"/>
      <c r="E2" s="3"/>
      <c r="F2" s="3"/>
      <c r="G2" s="3"/>
      <c r="K2" s="3"/>
    </row>
    <row r="3" spans="1:8" ht="15.75">
      <c r="A3" s="13" t="s">
        <v>37</v>
      </c>
      <c r="D3" s="3"/>
      <c r="E3" s="3"/>
      <c r="F3" s="3"/>
      <c r="G3" s="3"/>
      <c r="H3" s="11"/>
    </row>
    <row r="4" spans="1:8" ht="12.75">
      <c r="A4" s="18" t="s">
        <v>38</v>
      </c>
      <c r="H4" s="3"/>
    </row>
    <row r="5" spans="1:7" ht="12.75">
      <c r="A5" s="3" t="s">
        <v>34</v>
      </c>
      <c r="B5" s="3">
        <v>3.3</v>
      </c>
      <c r="C5" s="1" t="s">
        <v>27</v>
      </c>
      <c r="E5" s="12"/>
      <c r="F5" s="3"/>
      <c r="G5" s="3"/>
    </row>
    <row r="6" spans="1:7" ht="12.75">
      <c r="A6" s="3" t="s">
        <v>43</v>
      </c>
      <c r="B6" s="3">
        <v>20</v>
      </c>
      <c r="C6" s="1" t="s">
        <v>26</v>
      </c>
      <c r="D6" s="16" t="s">
        <v>44</v>
      </c>
      <c r="E6" s="3">
        <v>60</v>
      </c>
      <c r="F6" s="1" t="s">
        <v>26</v>
      </c>
      <c r="G6" s="3"/>
    </row>
    <row r="7" spans="1:7" ht="12.75">
      <c r="A7" s="10" t="s">
        <v>22</v>
      </c>
      <c r="B7" s="3"/>
      <c r="C7" s="3"/>
      <c r="D7" s="3"/>
      <c r="F7" s="3"/>
      <c r="G7" s="3"/>
    </row>
    <row r="8" spans="1:7" ht="12.75">
      <c r="A8" s="11" t="s">
        <v>15</v>
      </c>
      <c r="B8" s="3">
        <v>1011</v>
      </c>
      <c r="C8" s="3" t="s">
        <v>21</v>
      </c>
      <c r="D8" s="11" t="s">
        <v>4</v>
      </c>
      <c r="E8" s="3">
        <v>25</v>
      </c>
      <c r="F8" s="1" t="s">
        <v>26</v>
      </c>
      <c r="G8" s="3"/>
    </row>
    <row r="9" spans="1:9" ht="12.75">
      <c r="A9" s="11" t="s">
        <v>23</v>
      </c>
      <c r="B9" s="3">
        <v>0.007874</v>
      </c>
      <c r="C9" s="3" t="s">
        <v>58</v>
      </c>
      <c r="D9" s="11" t="s">
        <v>24</v>
      </c>
      <c r="E9" s="3">
        <v>1.874E-05</v>
      </c>
      <c r="F9" s="3" t="s">
        <v>59</v>
      </c>
      <c r="G9" s="11" t="s">
        <v>25</v>
      </c>
      <c r="H9" s="1">
        <v>3.42E-08</v>
      </c>
      <c r="I9" s="3" t="s">
        <v>60</v>
      </c>
    </row>
    <row r="10" spans="1:7" ht="12.75">
      <c r="A10" s="11" t="s">
        <v>30</v>
      </c>
      <c r="B10" s="3">
        <v>0.25</v>
      </c>
      <c r="C10" s="11" t="s">
        <v>32</v>
      </c>
      <c r="D10" s="3" t="s">
        <v>36</v>
      </c>
      <c r="E10" s="11"/>
      <c r="G10" s="3"/>
    </row>
    <row r="11" spans="1:7" ht="12.75">
      <c r="A11" s="10" t="s">
        <v>12</v>
      </c>
      <c r="B11" s="3"/>
      <c r="C11" s="11"/>
      <c r="D11" s="3"/>
      <c r="E11" s="3"/>
      <c r="F11" s="3"/>
      <c r="G11" s="3"/>
    </row>
    <row r="12" spans="1:6" ht="12.75">
      <c r="A12" s="3" t="s">
        <v>46</v>
      </c>
      <c r="B12" s="6">
        <f>$B$8*(1+$B$9*(B6-E8)+(B6-E8)*(B6-E8)*$E$9)</f>
        <v>971.6705835</v>
      </c>
      <c r="C12" s="3" t="s">
        <v>18</v>
      </c>
      <c r="D12" s="11" t="s">
        <v>45</v>
      </c>
      <c r="E12" s="6">
        <f>$B$8*(1+$B$9*(E6-E8)+(E6-E8)*(E6-E8)*$E$9)</f>
        <v>1312.8305115</v>
      </c>
      <c r="F12" s="3" t="s">
        <v>18</v>
      </c>
    </row>
    <row r="13" spans="1:6" ht="12.75">
      <c r="A13" s="3" t="s">
        <v>47</v>
      </c>
      <c r="B13" s="3">
        <f>(B6+E6)/2</f>
        <v>40</v>
      </c>
      <c r="C13" s="1" t="s">
        <v>26</v>
      </c>
      <c r="D13" s="16" t="s">
        <v>48</v>
      </c>
      <c r="E13" s="6">
        <f>$B$8*(1+$B$9*(B13-E8)+(B13-E8)*(B13-E8)*$E$9)</f>
        <v>1134.6720915</v>
      </c>
      <c r="F13" s="3" t="s">
        <v>18</v>
      </c>
    </row>
    <row r="14" spans="1:6" ht="12.75">
      <c r="A14" s="3" t="s">
        <v>29</v>
      </c>
      <c r="B14" s="2">
        <f>(E12-B12)/(E6-B6)</f>
        <v>8.5289982</v>
      </c>
      <c r="C14" s="1" t="s">
        <v>16</v>
      </c>
      <c r="D14" s="16"/>
      <c r="E14" s="6"/>
      <c r="F14" s="3"/>
    </row>
    <row r="15" spans="1:8" ht="16.5" thickBot="1">
      <c r="A15" s="13" t="s">
        <v>39</v>
      </c>
      <c r="C15" s="1" t="s">
        <v>42</v>
      </c>
      <c r="G15" s="3"/>
      <c r="H15" s="10"/>
    </row>
    <row r="16" spans="1:7" ht="13.5" thickBot="1">
      <c r="A16" s="3" t="s">
        <v>40</v>
      </c>
      <c r="B16" s="15">
        <f>(E13*(B12+E12)-2*B12*E12)/(B12+E12-2*E13)</f>
        <v>2697.2550349354797</v>
      </c>
      <c r="C16" s="10" t="s">
        <v>18</v>
      </c>
      <c r="G16" s="3"/>
    </row>
    <row r="17" spans="1:8" ht="12.75">
      <c r="A17" s="1" t="s">
        <v>35</v>
      </c>
      <c r="B17" s="12">
        <f>B5/(E13+B16)*1000</f>
        <v>0.8611854795552214</v>
      </c>
      <c r="C17" s="1" t="s">
        <v>28</v>
      </c>
      <c r="D17" s="16" t="s">
        <v>31</v>
      </c>
      <c r="E17" s="12">
        <f>B12*B17*B17*B10/1000</f>
        <v>0.1801575473891184</v>
      </c>
      <c r="F17" s="1" t="s">
        <v>26</v>
      </c>
      <c r="H17" s="18"/>
    </row>
    <row r="18" spans="1:8" ht="15.75">
      <c r="A18" s="13" t="s">
        <v>41</v>
      </c>
      <c r="H18" s="18"/>
    </row>
    <row r="19" spans="1:3" ht="12.75">
      <c r="A19" s="1" t="s">
        <v>52</v>
      </c>
      <c r="B19" s="1">
        <v>0.5</v>
      </c>
      <c r="C19" s="1" t="s">
        <v>61</v>
      </c>
    </row>
    <row r="20" spans="1:4" ht="12.75">
      <c r="A20" s="1" t="s">
        <v>49</v>
      </c>
      <c r="B20" s="17">
        <f>B5/B19*1000/(E13/B16+1)</f>
        <v>4645.673741487293</v>
      </c>
      <c r="C20" s="3" t="s">
        <v>18</v>
      </c>
      <c r="D20" s="1" t="s">
        <v>53</v>
      </c>
    </row>
    <row r="21" spans="1:6" ht="12.75">
      <c r="A21" s="1" t="s">
        <v>50</v>
      </c>
      <c r="B21" s="17">
        <f>1/(1/B16-1/B20)</f>
        <v>6431.14688221709</v>
      </c>
      <c r="C21" s="3" t="s">
        <v>18</v>
      </c>
      <c r="D21" s="1" t="s">
        <v>63</v>
      </c>
      <c r="F21" s="1" t="s">
        <v>51</v>
      </c>
    </row>
    <row r="22" spans="1:3" ht="15.75">
      <c r="A22" s="13" t="s">
        <v>62</v>
      </c>
      <c r="B22" s="17"/>
      <c r="C22" s="3"/>
    </row>
    <row r="23" spans="1:4" ht="12.75" customHeight="1">
      <c r="A23" s="1" t="s">
        <v>49</v>
      </c>
      <c r="B23" s="24">
        <v>4630</v>
      </c>
      <c r="C23" s="10" t="s">
        <v>18</v>
      </c>
      <c r="D23" s="1" t="s">
        <v>54</v>
      </c>
    </row>
    <row r="24" spans="1:6" ht="12.75" customHeight="1">
      <c r="A24" s="1" t="s">
        <v>50</v>
      </c>
      <c r="B24" s="24">
        <v>6440</v>
      </c>
      <c r="C24" s="10" t="s">
        <v>18</v>
      </c>
      <c r="D24" s="1" t="s">
        <v>55</v>
      </c>
      <c r="E24" s="17">
        <f>B23*B24/(B23+B24)</f>
        <v>2693.5140018066845</v>
      </c>
      <c r="F24" s="3" t="s">
        <v>18</v>
      </c>
    </row>
    <row r="25" ht="13.5" thickBot="1">
      <c r="A25" s="10" t="s">
        <v>56</v>
      </c>
    </row>
    <row r="26" spans="1:6" ht="13.5" thickBot="1">
      <c r="A26" s="4" t="s">
        <v>57</v>
      </c>
      <c r="B26" s="20">
        <v>2694</v>
      </c>
      <c r="C26" s="10" t="s">
        <v>18</v>
      </c>
      <c r="D26" s="1" t="s">
        <v>29</v>
      </c>
      <c r="E26" s="12">
        <f>B5*(E13/(B26+E13)-(E13-B14)/(B26+E13-B14))*1000</f>
        <v>5.184200034383746</v>
      </c>
      <c r="F26" s="1" t="s">
        <v>17</v>
      </c>
    </row>
    <row r="27" spans="1:6" ht="12.75">
      <c r="A27" s="4" t="s">
        <v>64</v>
      </c>
      <c r="B27" s="22">
        <f>MAX($H$56:$H74)</f>
        <v>0.015068891655404194</v>
      </c>
      <c r="C27" s="1" t="s">
        <v>26</v>
      </c>
      <c r="D27" s="4" t="s">
        <v>65</v>
      </c>
      <c r="E27" s="19">
        <f>MIN($H$56:$H74)</f>
        <v>-0.014596843938120477</v>
      </c>
      <c r="F27" s="1" t="s">
        <v>26</v>
      </c>
    </row>
    <row r="28" spans="1:7" ht="12.75">
      <c r="A28" s="10" t="s">
        <v>14</v>
      </c>
      <c r="B28" s="3"/>
      <c r="C28" s="3"/>
      <c r="D28" s="3"/>
      <c r="E28" s="3"/>
      <c r="F28" s="3"/>
      <c r="G28" s="3"/>
    </row>
    <row r="29" spans="1:9" ht="12.75">
      <c r="A29" s="3" t="s">
        <v>0</v>
      </c>
      <c r="B29" s="7">
        <f>B12/(B12+B26)</f>
        <v>0.2650730777265436</v>
      </c>
      <c r="C29" s="11" t="s">
        <v>1</v>
      </c>
      <c r="D29" s="7">
        <f>E12/(E12+B26)</f>
        <v>0.32764812680048394</v>
      </c>
      <c r="E29" s="11" t="s">
        <v>3</v>
      </c>
      <c r="F29" s="8">
        <f>(D29-B29)/(E6-B6)</f>
        <v>0.0015643762268485086</v>
      </c>
      <c r="G29" s="3"/>
      <c r="I29" s="18"/>
    </row>
    <row r="30" spans="7:11" ht="12.75">
      <c r="G30" s="3"/>
      <c r="J30" s="17"/>
      <c r="K30" s="3"/>
    </row>
    <row r="31" spans="7:11" ht="12.75">
      <c r="G31" s="7"/>
      <c r="J31" s="17"/>
      <c r="K31" s="3"/>
    </row>
    <row r="32" spans="1:10" ht="12.75">
      <c r="A32" s="3"/>
      <c r="B32" s="7"/>
      <c r="C32" s="11"/>
      <c r="D32" s="7"/>
      <c r="E32" s="11"/>
      <c r="F32" s="8"/>
      <c r="G32" s="7"/>
      <c r="J32" s="19"/>
    </row>
    <row r="33" spans="1:7" ht="12.75">
      <c r="A33" s="3"/>
      <c r="B33" s="7"/>
      <c r="C33" s="11"/>
      <c r="D33" s="7"/>
      <c r="E33" s="11"/>
      <c r="F33" s="8"/>
      <c r="G33" s="7"/>
    </row>
    <row r="34" spans="1:7" ht="12.75">
      <c r="A34" s="3"/>
      <c r="B34" s="7"/>
      <c r="C34" s="11"/>
      <c r="D34" s="7"/>
      <c r="E34" s="11"/>
      <c r="F34" s="8"/>
      <c r="G34" s="7"/>
    </row>
    <row r="35" spans="1:7" ht="12.75">
      <c r="A35" s="3"/>
      <c r="B35" s="7"/>
      <c r="C35" s="11"/>
      <c r="D35" s="7"/>
      <c r="E35" s="11"/>
      <c r="F35" s="8"/>
      <c r="G35" s="7"/>
    </row>
    <row r="36" spans="1:7" ht="12.75">
      <c r="A36" s="3"/>
      <c r="B36" s="7"/>
      <c r="C36" s="11"/>
      <c r="D36" s="7"/>
      <c r="E36" s="11"/>
      <c r="F36" s="8"/>
      <c r="G36" s="7"/>
    </row>
    <row r="37" spans="1:7" ht="12.75">
      <c r="A37" s="3"/>
      <c r="B37" s="7"/>
      <c r="C37" s="11"/>
      <c r="D37" s="7"/>
      <c r="E37" s="11"/>
      <c r="F37" s="8"/>
      <c r="G37" s="7"/>
    </row>
    <row r="38" spans="1:7" ht="12.75">
      <c r="A38" s="3"/>
      <c r="B38" s="7"/>
      <c r="C38" s="11"/>
      <c r="D38" s="7"/>
      <c r="E38" s="11"/>
      <c r="F38" s="8"/>
      <c r="G38" s="7"/>
    </row>
    <row r="39" spans="1:7" ht="12.75">
      <c r="A39" s="3"/>
      <c r="B39" s="7"/>
      <c r="C39" s="11"/>
      <c r="D39" s="7"/>
      <c r="E39" s="11"/>
      <c r="F39" s="8"/>
      <c r="G39" s="7"/>
    </row>
    <row r="40" spans="1:7" ht="12.75">
      <c r="A40" s="3"/>
      <c r="B40" s="7"/>
      <c r="C40" s="11"/>
      <c r="D40" s="7"/>
      <c r="E40" s="11"/>
      <c r="F40" s="8"/>
      <c r="G40" s="7"/>
    </row>
    <row r="41" spans="1:7" ht="12.75">
      <c r="A41" s="3"/>
      <c r="B41" s="7"/>
      <c r="C41" s="11"/>
      <c r="D41" s="7"/>
      <c r="E41" s="11"/>
      <c r="F41" s="8"/>
      <c r="G41" s="7"/>
    </row>
    <row r="42" spans="1:7" ht="12.75">
      <c r="A42" s="3"/>
      <c r="B42" s="7"/>
      <c r="C42" s="11"/>
      <c r="D42" s="7"/>
      <c r="E42" s="11"/>
      <c r="F42" s="8"/>
      <c r="G42" s="7"/>
    </row>
    <row r="43" spans="1:7" ht="12.75">
      <c r="A43" s="3"/>
      <c r="B43" s="7"/>
      <c r="C43" s="11"/>
      <c r="D43" s="7"/>
      <c r="E43" s="11"/>
      <c r="F43" s="8"/>
      <c r="G43" s="7"/>
    </row>
    <row r="44" spans="1:7" ht="12.75">
      <c r="A44" s="3"/>
      <c r="B44" s="7"/>
      <c r="C44" s="11"/>
      <c r="D44" s="7"/>
      <c r="E44" s="11"/>
      <c r="F44" s="8"/>
      <c r="G44" s="7"/>
    </row>
    <row r="45" spans="1:7" ht="12.75">
      <c r="A45" s="3"/>
      <c r="B45" s="7"/>
      <c r="C45" s="11"/>
      <c r="D45" s="7"/>
      <c r="E45" s="11"/>
      <c r="F45" s="8"/>
      <c r="G45" s="7"/>
    </row>
    <row r="46" spans="1:7" ht="12.75">
      <c r="A46" s="3"/>
      <c r="B46" s="7"/>
      <c r="C46" s="11"/>
      <c r="D46" s="7"/>
      <c r="E46" s="11"/>
      <c r="F46" s="8"/>
      <c r="G46" s="7"/>
    </row>
    <row r="47" spans="1:7" ht="12.75">
      <c r="A47" s="3"/>
      <c r="B47" s="7"/>
      <c r="C47" s="11"/>
      <c r="D47" s="7"/>
      <c r="E47" s="11"/>
      <c r="F47" s="8"/>
      <c r="G47" s="7"/>
    </row>
    <row r="48" spans="1:7" ht="12.75">
      <c r="A48" s="3"/>
      <c r="B48" s="7"/>
      <c r="C48" s="11"/>
      <c r="D48" s="7"/>
      <c r="E48" s="11"/>
      <c r="F48" s="8"/>
      <c r="G48" s="7"/>
    </row>
    <row r="49" spans="1:7" ht="12.75">
      <c r="A49" s="3"/>
      <c r="B49" s="7"/>
      <c r="C49" s="11"/>
      <c r="D49" s="7"/>
      <c r="E49" s="11"/>
      <c r="F49" s="8"/>
      <c r="G49" s="7"/>
    </row>
    <row r="50" spans="1:7" ht="12.75">
      <c r="A50" s="3"/>
      <c r="B50" s="7"/>
      <c r="C50" s="11"/>
      <c r="D50" s="7"/>
      <c r="E50" s="11"/>
      <c r="F50" s="8"/>
      <c r="G50" s="7"/>
    </row>
    <row r="51" spans="1:7" ht="12.75">
      <c r="A51" s="3"/>
      <c r="B51" s="7"/>
      <c r="C51" s="11"/>
      <c r="D51" s="7"/>
      <c r="E51" s="11"/>
      <c r="F51" s="8"/>
      <c r="G51" s="7"/>
    </row>
    <row r="52" spans="1:7" ht="12.75">
      <c r="A52" s="3"/>
      <c r="B52" s="7"/>
      <c r="C52" s="11"/>
      <c r="D52" s="7"/>
      <c r="E52" s="11"/>
      <c r="F52" s="8"/>
      <c r="G52" s="7"/>
    </row>
    <row r="53" spans="1:7" ht="12.75">
      <c r="A53" s="3"/>
      <c r="B53" s="7"/>
      <c r="C53" s="11"/>
      <c r="D53" s="7"/>
      <c r="E53" s="11"/>
      <c r="F53" s="8"/>
      <c r="G53" s="7"/>
    </row>
    <row r="54" spans="1:8" ht="12.75">
      <c r="A54" s="10" t="s">
        <v>13</v>
      </c>
      <c r="B54" s="3"/>
      <c r="C54" s="11" t="s">
        <v>2</v>
      </c>
      <c r="D54" s="3">
        <v>5</v>
      </c>
      <c r="E54" s="1" t="s">
        <v>26</v>
      </c>
      <c r="F54" s="3"/>
      <c r="G54" s="3"/>
      <c r="H54" s="1" t="s">
        <v>67</v>
      </c>
    </row>
    <row r="55" spans="1:8" ht="12.75">
      <c r="A55" s="9" t="s">
        <v>5</v>
      </c>
      <c r="B55" s="9" t="s">
        <v>6</v>
      </c>
      <c r="C55" s="9" t="s">
        <v>7</v>
      </c>
      <c r="D55" s="9" t="s">
        <v>33</v>
      </c>
      <c r="E55" s="9" t="s">
        <v>8</v>
      </c>
      <c r="F55" s="23" t="s">
        <v>9</v>
      </c>
      <c r="G55" s="5"/>
      <c r="H55" s="1" t="s">
        <v>66</v>
      </c>
    </row>
    <row r="56" spans="1:8" ht="12.75">
      <c r="A56" s="3">
        <v>0</v>
      </c>
      <c r="B56" s="6">
        <f aca="true" t="shared" si="0" ref="B56:B76">$B$8*(1+$B$9*(A56-$E$8)+(A56-$E$8)*(A56-$E$8)*$E$9-IF(A56&gt;100,$H$9*EXP(LN(A56-100)*3.7),0))</f>
        <v>823.8259875</v>
      </c>
      <c r="C56" s="7">
        <f aca="true" t="shared" si="1" ref="C56:C76">B56/($B$26+B56)</f>
        <v>0.2341861110888732</v>
      </c>
      <c r="D56" s="7">
        <f aca="true" t="shared" si="2" ref="D56:D76">C56*$B$5</f>
        <v>0.7728141665932815</v>
      </c>
      <c r="E56" s="7">
        <f aca="true" t="shared" si="3" ref="E56:E76">$B$29+$F$29*($A56-$B$6)</f>
        <v>0.23378555318957342</v>
      </c>
      <c r="F56" s="5">
        <f aca="true" t="shared" si="4" ref="F56:F76">(C56-E56)/$F$29</f>
        <v>0.25604959499206115</v>
      </c>
      <c r="G56" s="5"/>
      <c r="H56" s="21">
        <f>IF(AND(A56&gt;$B$6,A56&lt;$E$6),F56,0)</f>
        <v>0</v>
      </c>
    </row>
    <row r="57" spans="1:8" ht="12.75">
      <c r="A57" s="3">
        <f aca="true" t="shared" si="5" ref="A57:A76">$A56+$D$54</f>
        <v>5</v>
      </c>
      <c r="B57" s="6">
        <f t="shared" si="0"/>
        <v>859.3661759999999</v>
      </c>
      <c r="C57" s="7">
        <f t="shared" si="1"/>
        <v>0.2418456566070493</v>
      </c>
      <c r="D57" s="7">
        <f t="shared" si="2"/>
        <v>0.7980906668032626</v>
      </c>
      <c r="E57" s="7">
        <f t="shared" si="3"/>
        <v>0.24160743432381596</v>
      </c>
      <c r="F57" s="5">
        <f t="shared" si="4"/>
        <v>0.15227940641442952</v>
      </c>
      <c r="G57" s="5"/>
      <c r="H57" s="21">
        <f aca="true" t="shared" si="6" ref="H57:H76">IF(AND(A57&gt;$B$6,A57&lt;$E$6),F57,0)</f>
        <v>0</v>
      </c>
    </row>
    <row r="58" spans="1:8" ht="12.75">
      <c r="A58" s="3">
        <f t="shared" si="5"/>
        <v>10</v>
      </c>
      <c r="B58" s="6">
        <f t="shared" si="0"/>
        <v>895.8536714999999</v>
      </c>
      <c r="C58" s="7">
        <f t="shared" si="1"/>
        <v>0.24955158440362626</v>
      </c>
      <c r="D58" s="7">
        <f t="shared" si="2"/>
        <v>0.8235202285319666</v>
      </c>
      <c r="E58" s="7">
        <f t="shared" si="3"/>
        <v>0.24942931545805852</v>
      </c>
      <c r="F58" s="5">
        <f t="shared" si="4"/>
        <v>0.07815827386616521</v>
      </c>
      <c r="G58" s="5"/>
      <c r="H58" s="21">
        <f t="shared" si="6"/>
        <v>0</v>
      </c>
    </row>
    <row r="59" spans="1:8" ht="12.75">
      <c r="A59" s="3">
        <f t="shared" si="5"/>
        <v>15</v>
      </c>
      <c r="B59" s="6">
        <f t="shared" si="0"/>
        <v>933.2884740000001</v>
      </c>
      <c r="C59" s="7">
        <f t="shared" si="1"/>
        <v>0.25729645730956</v>
      </c>
      <c r="D59" s="7">
        <f t="shared" si="2"/>
        <v>0.849078309121548</v>
      </c>
      <c r="E59" s="7">
        <f t="shared" si="3"/>
        <v>0.25725119659230106</v>
      </c>
      <c r="F59" s="5">
        <f t="shared" si="4"/>
        <v>0.02893211778738493</v>
      </c>
      <c r="G59" s="5"/>
      <c r="H59" s="21">
        <f t="shared" si="6"/>
        <v>0</v>
      </c>
    </row>
    <row r="60" spans="1:8" ht="12.75">
      <c r="A60" s="3">
        <f t="shared" si="5"/>
        <v>20</v>
      </c>
      <c r="B60" s="6">
        <f t="shared" si="0"/>
        <v>971.6705835</v>
      </c>
      <c r="C60" s="7">
        <f t="shared" si="1"/>
        <v>0.2650730777265436</v>
      </c>
      <c r="D60" s="7">
        <f t="shared" si="2"/>
        <v>0.8747411564975938</v>
      </c>
      <c r="E60" s="7">
        <f t="shared" si="3"/>
        <v>0.2650730777265436</v>
      </c>
      <c r="F60" s="5">
        <f t="shared" si="4"/>
        <v>0</v>
      </c>
      <c r="G60" s="5"/>
      <c r="H60" s="21">
        <f t="shared" si="6"/>
        <v>0</v>
      </c>
    </row>
    <row r="61" spans="1:8" ht="12.75">
      <c r="A61" s="3">
        <f t="shared" si="5"/>
        <v>25</v>
      </c>
      <c r="B61" s="6">
        <f t="shared" si="0"/>
        <v>1011</v>
      </c>
      <c r="C61" s="7">
        <f t="shared" si="1"/>
        <v>0.2728744939271255</v>
      </c>
      <c r="D61" s="7">
        <f t="shared" si="2"/>
        <v>0.9004858299595141</v>
      </c>
      <c r="E61" s="7">
        <f t="shared" si="3"/>
        <v>0.27289495886078613</v>
      </c>
      <c r="F61" s="5">
        <f t="shared" si="4"/>
        <v>-0.013081849052304985</v>
      </c>
      <c r="G61" s="5"/>
      <c r="H61" s="21">
        <f t="shared" si="6"/>
        <v>-0.013081849052304985</v>
      </c>
    </row>
    <row r="62" spans="1:8" ht="12.75">
      <c r="A62" s="3">
        <f t="shared" si="5"/>
        <v>30</v>
      </c>
      <c r="B62" s="6">
        <f t="shared" si="0"/>
        <v>1051.2767235</v>
      </c>
      <c r="C62" s="7">
        <f t="shared" si="1"/>
        <v>0.28069400503938485</v>
      </c>
      <c r="D62" s="7">
        <f t="shared" si="2"/>
        <v>0.92629021662997</v>
      </c>
      <c r="E62" s="7">
        <f t="shared" si="3"/>
        <v>0.28071683999502867</v>
      </c>
      <c r="F62" s="5">
        <f t="shared" si="4"/>
        <v>-0.014596843938120477</v>
      </c>
      <c r="G62" s="5"/>
      <c r="H62" s="21">
        <f t="shared" si="6"/>
        <v>-0.014596843938120477</v>
      </c>
    </row>
    <row r="63" spans="1:8" ht="12.75">
      <c r="A63" s="3">
        <f t="shared" si="5"/>
        <v>35</v>
      </c>
      <c r="B63" s="6">
        <f t="shared" si="0"/>
        <v>1092.500754</v>
      </c>
      <c r="C63" s="7">
        <f t="shared" si="1"/>
        <v>0.2885251647833159</v>
      </c>
      <c r="D63" s="7">
        <f t="shared" si="2"/>
        <v>0.9521330437849425</v>
      </c>
      <c r="E63" s="7">
        <f t="shared" si="3"/>
        <v>0.2885387211292712</v>
      </c>
      <c r="F63" s="5">
        <f t="shared" si="4"/>
        <v>-0.008665655820275302</v>
      </c>
      <c r="G63" s="5"/>
      <c r="H63" s="21">
        <f t="shared" si="6"/>
        <v>-0.008665655820275302</v>
      </c>
    </row>
    <row r="64" spans="1:8" ht="12.75">
      <c r="A64" s="3">
        <f t="shared" si="5"/>
        <v>40</v>
      </c>
      <c r="B64" s="6">
        <f t="shared" si="0"/>
        <v>1134.6720915</v>
      </c>
      <c r="C64" s="7">
        <f t="shared" si="1"/>
        <v>0.2963617840292657</v>
      </c>
      <c r="D64" s="7">
        <f t="shared" si="2"/>
        <v>0.9779938872965768</v>
      </c>
      <c r="E64" s="7">
        <f t="shared" si="3"/>
        <v>0.2963606022635138</v>
      </c>
      <c r="F64" s="5">
        <f t="shared" si="4"/>
        <v>0.0007554229805088445</v>
      </c>
      <c r="G64" s="5"/>
      <c r="H64" s="21">
        <f t="shared" si="6"/>
        <v>0.0007554229805088445</v>
      </c>
    </row>
    <row r="65" spans="1:8" ht="12.75">
      <c r="A65" s="3">
        <f t="shared" si="5"/>
        <v>45</v>
      </c>
      <c r="B65" s="6">
        <f t="shared" si="0"/>
        <v>1177.790736</v>
      </c>
      <c r="C65" s="7">
        <f t="shared" si="1"/>
        <v>0.30419793225105746</v>
      </c>
      <c r="D65" s="7">
        <f t="shared" si="2"/>
        <v>1.0038531764284895</v>
      </c>
      <c r="E65" s="7">
        <f t="shared" si="3"/>
        <v>0.30418248339775633</v>
      </c>
      <c r="F65" s="5">
        <f t="shared" si="4"/>
        <v>0.009875407869274327</v>
      </c>
      <c r="G65" s="5"/>
      <c r="H65" s="21">
        <f t="shared" si="6"/>
        <v>0.009875407869274327</v>
      </c>
    </row>
    <row r="66" spans="1:8" ht="12.75">
      <c r="A66" s="3">
        <f t="shared" si="5"/>
        <v>50</v>
      </c>
      <c r="B66" s="6">
        <f t="shared" si="0"/>
        <v>1221.8566875</v>
      </c>
      <c r="C66" s="7">
        <f t="shared" si="1"/>
        <v>0.31202793794786954</v>
      </c>
      <c r="D66" s="7">
        <f t="shared" si="2"/>
        <v>1.0296921952279694</v>
      </c>
      <c r="E66" s="7">
        <f t="shared" si="3"/>
        <v>0.31200436453199887</v>
      </c>
      <c r="F66" s="5">
        <f t="shared" si="4"/>
        <v>0.015068891655404194</v>
      </c>
      <c r="G66" s="5"/>
      <c r="H66" s="21">
        <f t="shared" si="6"/>
        <v>0.015068891655404194</v>
      </c>
    </row>
    <row r="67" spans="1:8" ht="12.75">
      <c r="A67" s="3">
        <f t="shared" si="5"/>
        <v>55</v>
      </c>
      <c r="B67" s="6">
        <f t="shared" si="0"/>
        <v>1266.8699460000003</v>
      </c>
      <c r="C67" s="7">
        <f t="shared" si="1"/>
        <v>0.3198463881096085</v>
      </c>
      <c r="D67" s="7">
        <f t="shared" si="2"/>
        <v>1.055493080761708</v>
      </c>
      <c r="E67" s="7">
        <f t="shared" si="3"/>
        <v>0.3198262456662414</v>
      </c>
      <c r="F67" s="5">
        <f t="shared" si="4"/>
        <v>0.012875702801812088</v>
      </c>
      <c r="G67" s="5"/>
      <c r="H67" s="21">
        <f t="shared" si="6"/>
        <v>0.012875702801812088</v>
      </c>
    </row>
    <row r="68" spans="1:8" ht="12.75">
      <c r="A68" s="3">
        <f t="shared" si="5"/>
        <v>60</v>
      </c>
      <c r="B68" s="6">
        <f t="shared" si="0"/>
        <v>1312.8305115</v>
      </c>
      <c r="C68" s="7">
        <f t="shared" si="1"/>
        <v>0.32764812680048394</v>
      </c>
      <c r="D68" s="7">
        <f t="shared" si="2"/>
        <v>1.0812388184415969</v>
      </c>
      <c r="E68" s="7">
        <f t="shared" si="3"/>
        <v>0.32764812680048394</v>
      </c>
      <c r="F68" s="5">
        <f t="shared" si="4"/>
        <v>0</v>
      </c>
      <c r="G68" s="5"/>
      <c r="H68" s="21">
        <f t="shared" si="6"/>
        <v>0</v>
      </c>
    </row>
    <row r="69" spans="1:8" ht="12.75">
      <c r="A69" s="3">
        <f t="shared" si="5"/>
        <v>65</v>
      </c>
      <c r="B69" s="6">
        <f t="shared" si="0"/>
        <v>1359.7383840000002</v>
      </c>
      <c r="C69" s="7">
        <f t="shared" si="1"/>
        <v>0.3354282529348347</v>
      </c>
      <c r="D69" s="7">
        <f t="shared" si="2"/>
        <v>1.1069132346849544</v>
      </c>
      <c r="E69" s="7">
        <f t="shared" si="3"/>
        <v>0.3354700079347265</v>
      </c>
      <c r="F69" s="5">
        <f t="shared" si="4"/>
        <v>-0.026691149593792002</v>
      </c>
      <c r="G69" s="5"/>
      <c r="H69" s="21">
        <f t="shared" si="6"/>
        <v>0</v>
      </c>
    </row>
    <row r="70" spans="1:8" ht="12.75">
      <c r="A70" s="3">
        <f t="shared" si="5"/>
        <v>70</v>
      </c>
      <c r="B70" s="6">
        <f t="shared" si="0"/>
        <v>1407.5935635</v>
      </c>
      <c r="C70" s="7">
        <f t="shared" si="1"/>
        <v>0.34318211731804615</v>
      </c>
      <c r="D70" s="7">
        <f t="shared" si="2"/>
        <v>1.1325009871495522</v>
      </c>
      <c r="E70" s="7">
        <f t="shared" si="3"/>
        <v>0.343291889068969</v>
      </c>
      <c r="F70" s="5">
        <f t="shared" si="4"/>
        <v>-0.0701696619003213</v>
      </c>
      <c r="G70" s="5"/>
      <c r="H70" s="21">
        <f t="shared" si="6"/>
        <v>0</v>
      </c>
    </row>
    <row r="71" spans="1:8" ht="12.75">
      <c r="A71" s="3">
        <f t="shared" si="5"/>
        <v>75</v>
      </c>
      <c r="B71" s="6">
        <f t="shared" si="0"/>
        <v>1456.39605</v>
      </c>
      <c r="C71" s="7">
        <f t="shared" si="1"/>
        <v>0.35090531902371097</v>
      </c>
      <c r="D71" s="7">
        <f t="shared" si="2"/>
        <v>1.1579875527782462</v>
      </c>
      <c r="E71" s="7">
        <f t="shared" si="3"/>
        <v>0.35111377020321155</v>
      </c>
      <c r="F71" s="5">
        <f t="shared" si="4"/>
        <v>-0.13324875175360582</v>
      </c>
      <c r="G71" s="5"/>
      <c r="H71" s="21">
        <f t="shared" si="6"/>
        <v>0</v>
      </c>
    </row>
    <row r="72" spans="1:8" ht="12.75">
      <c r="A72" s="3">
        <f t="shared" si="5"/>
        <v>80</v>
      </c>
      <c r="B72" s="6">
        <f t="shared" si="0"/>
        <v>1506.1458435</v>
      </c>
      <c r="C72" s="7">
        <f t="shared" si="1"/>
        <v>0.3585937011760815</v>
      </c>
      <c r="D72" s="7">
        <f t="shared" si="2"/>
        <v>1.183359213881069</v>
      </c>
      <c r="E72" s="7">
        <f t="shared" si="3"/>
        <v>0.3589356513374541</v>
      </c>
      <c r="F72" s="5">
        <f t="shared" si="4"/>
        <v>-0.21858562889403685</v>
      </c>
      <c r="G72" s="5"/>
      <c r="H72" s="21">
        <f t="shared" si="6"/>
        <v>0</v>
      </c>
    </row>
    <row r="73" spans="1:8" ht="12.75">
      <c r="A73" s="3">
        <f t="shared" si="5"/>
        <v>85</v>
      </c>
      <c r="B73" s="6">
        <f t="shared" si="0"/>
        <v>1556.842944</v>
      </c>
      <c r="C73" s="7">
        <f t="shared" si="1"/>
        <v>0.3662433462044181</v>
      </c>
      <c r="D73" s="7">
        <f t="shared" si="2"/>
        <v>1.2086030424745797</v>
      </c>
      <c r="E73" s="7">
        <f t="shared" si="3"/>
        <v>0.3667575324716966</v>
      </c>
      <c r="F73" s="5">
        <f t="shared" si="4"/>
        <v>-0.3286845315428701</v>
      </c>
      <c r="G73" s="5"/>
      <c r="H73" s="21">
        <f t="shared" si="6"/>
        <v>0</v>
      </c>
    </row>
    <row r="74" spans="1:8" ht="12.75">
      <c r="A74" s="3">
        <f t="shared" si="5"/>
        <v>90</v>
      </c>
      <c r="B74" s="6">
        <f t="shared" si="0"/>
        <v>1608.4873515000002</v>
      </c>
      <c r="C74" s="7">
        <f t="shared" si="1"/>
        <v>0.373850570633107</v>
      </c>
      <c r="D74" s="7">
        <f t="shared" si="2"/>
        <v>1.233706883089253</v>
      </c>
      <c r="E74" s="7">
        <f t="shared" si="3"/>
        <v>0.3745794136059392</v>
      </c>
      <c r="F74" s="5">
        <f t="shared" si="4"/>
        <v>-0.46590005672771634</v>
      </c>
      <c r="G74" s="5"/>
      <c r="H74" s="21">
        <f t="shared" si="6"/>
        <v>0</v>
      </c>
    </row>
    <row r="75" spans="1:8" ht="12.75">
      <c r="A75" s="3">
        <f t="shared" si="5"/>
        <v>95</v>
      </c>
      <c r="B75" s="6">
        <f t="shared" si="0"/>
        <v>1661.079066</v>
      </c>
      <c r="C75" s="7">
        <f t="shared" si="1"/>
        <v>0.3814119194684673</v>
      </c>
      <c r="D75" s="7">
        <f t="shared" si="2"/>
        <v>1.258659334245942</v>
      </c>
      <c r="E75" s="7">
        <f t="shared" si="3"/>
        <v>0.38240129474018175</v>
      </c>
      <c r="F75" s="5">
        <f t="shared" si="4"/>
        <v>-0.6324407484173898</v>
      </c>
      <c r="G75" s="5"/>
      <c r="H75" s="21">
        <f t="shared" si="6"/>
        <v>0</v>
      </c>
    </row>
    <row r="76" spans="1:8" ht="12.75">
      <c r="A76" s="3">
        <f t="shared" si="5"/>
        <v>100</v>
      </c>
      <c r="B76" s="6">
        <f t="shared" si="0"/>
        <v>1714.6180874999998</v>
      </c>
      <c r="C76" s="7">
        <f t="shared" si="1"/>
        <v>0.3889241602400425</v>
      </c>
      <c r="D76" s="7">
        <f t="shared" si="2"/>
        <v>1.2834497287921403</v>
      </c>
      <c r="E76" s="7">
        <f t="shared" si="3"/>
        <v>0.3902231758744243</v>
      </c>
      <c r="F76" s="5">
        <f t="shared" si="4"/>
        <v>-0.8303729065217879</v>
      </c>
      <c r="G76" s="5"/>
      <c r="H76" s="21">
        <f t="shared" si="6"/>
        <v>0</v>
      </c>
    </row>
    <row r="77" spans="1:7" ht="12.75">
      <c r="A77" s="3"/>
      <c r="B77" s="7"/>
      <c r="C77" s="3"/>
      <c r="D77" s="3"/>
      <c r="E77" s="3" t="s">
        <v>10</v>
      </c>
      <c r="F77" s="5">
        <f>MAX(F56:F76)</f>
        <v>0.25604959499206115</v>
      </c>
      <c r="G77" s="3"/>
    </row>
    <row r="78" spans="1:7" ht="12.75">
      <c r="A78" s="3"/>
      <c r="B78" s="7"/>
      <c r="C78" s="3"/>
      <c r="D78" s="3"/>
      <c r="E78" s="3" t="s">
        <v>11</v>
      </c>
      <c r="F78" s="5">
        <f>MIN(F57:F77)</f>
        <v>-0.8303729065217879</v>
      </c>
      <c r="G78" s="3"/>
    </row>
    <row r="79" spans="1:7" ht="12.75">
      <c r="A79" s="3"/>
      <c r="B79" s="7"/>
      <c r="C79" s="3"/>
      <c r="D79" s="3"/>
      <c r="E79" s="3"/>
      <c r="F79" s="3"/>
      <c r="G79" s="3"/>
    </row>
    <row r="80" ht="12.75">
      <c r="B80" s="2"/>
    </row>
    <row r="81" ht="12.75">
      <c r="B81" s="2"/>
    </row>
    <row r="82" ht="12.75">
      <c r="B82" s="2"/>
    </row>
    <row r="83" ht="12.75">
      <c r="B83" s="2"/>
    </row>
  </sheetData>
  <sheetProtection/>
  <printOptions gridLines="1"/>
  <pageMargins left="1.1811023622047245" right="0" top="0.7874015748031497" bottom="0.3937007874015748" header="0.4921259845" footer="0.4921259845"/>
  <pageSetup horizontalDpi="240" verticalDpi="240" orientation="portrait" paperSize="9" r:id="rId2"/>
  <headerFooter alignWithMargins="0">
    <oddHeader>&amp;C&amp;F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Windows-Benutzer</cp:lastModifiedBy>
  <cp:lastPrinted>2003-10-02T20:30:32Z</cp:lastPrinted>
  <dcterms:created xsi:type="dcterms:W3CDTF">2003-10-01T19:27:48Z</dcterms:created>
  <dcterms:modified xsi:type="dcterms:W3CDTF">2018-11-02T21:21:51Z</dcterms:modified>
  <cp:category/>
  <cp:version/>
  <cp:contentType/>
  <cp:contentStatus/>
</cp:coreProperties>
</file>