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C:\Users\Sebi\Dropbox\BLDC_SERVO\SVN\Project\trunk\Hardware\230V_Servo\Simulations\UCC28019A Deisgn calculator\"/>
    </mc:Choice>
  </mc:AlternateContent>
  <xr:revisionPtr revIDLastSave="0" documentId="13_ncr:1_{A3DF71DE-D984-489C-AD00-C045448134A5}" xr6:coauthVersionLast="44" xr6:coauthVersionMax="44" xr10:uidLastSave="{00000000-0000-0000-0000-000000000000}"/>
  <bookViews>
    <workbookView xWindow="-120" yWindow="-120" windowWidth="29040" windowHeight="15840" tabRatio="559" activeTab="1" xr2:uid="{00000000-000D-0000-FFFF-FFFF00000000}"/>
  </bookViews>
  <sheets>
    <sheet name="INSTRUCTIONS READ ME FIRST!" sheetId="4" r:id="rId1"/>
    <sheet name="CALCULATIONS" sheetId="1" r:id="rId2"/>
    <sheet name="SCHEMATIC" sheetId="5" r:id="rId3"/>
    <sheet name="data" sheetId="2" r:id="rId4"/>
  </sheets>
  <definedNames>
    <definedName name="_Rfb1">CALCULATIONS!$C$123</definedName>
    <definedName name="_Rfb2">CALCULATIONS!$C$127</definedName>
    <definedName name="a_1">data!$H$78</definedName>
    <definedName name="a_2">data!$H$88</definedName>
    <definedName name="a_3">data!$H$99</definedName>
    <definedName name="a_4">#REF!</definedName>
    <definedName name="b_1">data!$H$79</definedName>
    <definedName name="b_2">data!$H$89</definedName>
    <definedName name="b_3">data!$H$100</definedName>
    <definedName name="b_4">#REF!</definedName>
    <definedName name="c_1">data!$H$80</definedName>
    <definedName name="c_2">data!$H$90</definedName>
    <definedName name="c_3">#REF!</definedName>
    <definedName name="Cicomp">CALCULATIONS!$C$175</definedName>
    <definedName name="Cin">CALCULATIONS!$C$52</definedName>
    <definedName name="Cisense">CALCULATIONS!$C$105</definedName>
    <definedName name="Coss">CALCULATIONS!$C$84</definedName>
    <definedName name="Cout">CALCULATIONS!$C$113</definedName>
    <definedName name="Cvcomp">CALCULATIONS!$C$265</definedName>
    <definedName name="Cvcomp_p">CALCULATIONS!$C$271</definedName>
    <definedName name="Cvins">CALCULATIONS!$C$334</definedName>
    <definedName name="Cvins_hu">CALCULATIONS!$C$326</definedName>
    <definedName name="Cvsense">CALCULATIONS!$C$139</definedName>
    <definedName name="d_1">data!$H$81</definedName>
    <definedName name="d_2">data!$H$91</definedName>
    <definedName name="delta_Rfb1">CALCULATIONS!$C$124</definedName>
    <definedName name="delta_Rfb2">CALCULATIONS!$C$128</definedName>
    <definedName name="Dmax">CALCULATIONS!$C$56</definedName>
    <definedName name="_xlnm.Print_Area" localSheetId="1">CALCULATIONS!$A$1:$E$33</definedName>
    <definedName name="e_1">data!$H$82</definedName>
    <definedName name="e_2">data!$H$92</definedName>
    <definedName name="eff">CALCULATIONS!$C$16</definedName>
    <definedName name="f_1">data!$H$83</definedName>
    <definedName name="f_2">data!$H$93</definedName>
    <definedName name="f_Iavg">CALCULATIONS!$C$173</definedName>
    <definedName name="f_iavgactual">CALCULATIONS!$C$176</definedName>
    <definedName name="fline_max">CALCULATIONS!$C$26</definedName>
    <definedName name="fline_min">CALCULATIONS!$C$25</definedName>
    <definedName name="fline_nom">CALCULATIONS!$C$27</definedName>
    <definedName name="fpole">CALCULATIONS!$C$269</definedName>
    <definedName name="fPWM_PSpole">CALCULATIONS!$C$261</definedName>
    <definedName name="fsw">data!$C$2</definedName>
    <definedName name="ftyp">#REF!</definedName>
    <definedName name="fv">CALCULATIONS!$C$262</definedName>
    <definedName name="fzero">CALCULATIONS!$C$268</definedName>
    <definedName name="g_1">data!$H$84</definedName>
    <definedName name="g_2">data!$H$94</definedName>
    <definedName name="g_mi">data!$H$72</definedName>
    <definedName name="g_mv">data!$H$71</definedName>
    <definedName name="GVL_dB">CALCULATIONS!$C$263</definedName>
    <definedName name="HU_rqment">CALCULATIONS!$C$320</definedName>
    <definedName name="I_Lpeak">CALCULATIONS!$C$57</definedName>
    <definedName name="Ibridge">CALCULATIONS!$C$41</definedName>
    <definedName name="Icout_2fline">CALCULATIONS!$C$116</definedName>
    <definedName name="Icout_HF">CALCULATIONS!$C$117</definedName>
    <definedName name="Icout_rms">CALCULATIONS!$C$118</definedName>
    <definedName name="Ids_rms">CALCULATIONS!$C$79</definedName>
    <definedName name="Ifuse">CALCULATIONS!$C$34</definedName>
    <definedName name="Iin_avg_max">CALCULATIONS!$C$33</definedName>
    <definedName name="Iin_peak_max">CALCULATIONS!$C$32</definedName>
    <definedName name="Iin_rms_max">CALCULATIONS!$C$31</definedName>
    <definedName name="Iinrush">CALCULATIONS!$C$102</definedName>
    <definedName name="IISENSE">data!$H$18</definedName>
    <definedName name="Il_peak_actual">CALCULATIONS!$C$61</definedName>
    <definedName name="Iout">CALCULATIONS!$C$18</definedName>
    <definedName name="Iout_OC">CALCULATIONS!$C$99</definedName>
    <definedName name="Ipcl">CALCULATIONS!$C$100</definedName>
    <definedName name="Iripple">CALCULATIONS!$C$50</definedName>
    <definedName name="Iripple_actual">CALCULATIONS!$C$60</definedName>
    <definedName name="Isoc">CALCULATIONS!$C$97</definedName>
    <definedName name="Ivins">data!$H$19</definedName>
    <definedName name="K_1">data!$H$68</definedName>
    <definedName name="K_1V2">#REF!</definedName>
    <definedName name="K_1V3">#REF!</definedName>
    <definedName name="K_2V2">#REF!</definedName>
    <definedName name="K_2V3">#REF!</definedName>
    <definedName name="K_3V2">#REF!</definedName>
    <definedName name="K_3V3">#REF!</definedName>
    <definedName name="K_4V2">#REF!</definedName>
    <definedName name="K_4V3">#REF!</definedName>
    <definedName name="K_5V3">#REF!</definedName>
    <definedName name="K_fq">data!$H$69</definedName>
    <definedName name="kHz">data!$C$5</definedName>
    <definedName name="kOhm">data!$C$16</definedName>
    <definedName name="L_I_ripple_factor">CALCULATIONS!$C$48</definedName>
    <definedName name="Lbst">CALCULATIONS!$C$59</definedName>
    <definedName name="M_1">CALCULATIONS!$C$170</definedName>
    <definedName name="M_2">CALCULATIONS!$C$171</definedName>
    <definedName name="M_3">CALCULATIONS!$C$172</definedName>
    <definedName name="M1M2">CALCULATIONS!#REF!</definedName>
    <definedName name="M1M2_calc">CALCULATIONS!$C$168</definedName>
    <definedName name="mA">data!$C$8</definedName>
    <definedName name="MegOhm">data!$C$20</definedName>
    <definedName name="mH">data!$C$21</definedName>
    <definedName name="MHz">data!$C$14</definedName>
    <definedName name="mOhm">data!$C$6</definedName>
    <definedName name="mOhms">#REF!</definedName>
    <definedName name="ms">data!$C$7</definedName>
    <definedName name="mSiemens">data!$C$23</definedName>
    <definedName name="mV">data!$C$3</definedName>
    <definedName name="mW">data!$C$12</definedName>
    <definedName name="nC">data!$C$17</definedName>
    <definedName name="Ndropout">CALCULATIONS!$C$110</definedName>
    <definedName name="nF">data!$C$18</definedName>
    <definedName name="Nibop">CALCULATIONS!$C$333</definedName>
    <definedName name="Ninput_hup">CALCULATIONS!$C$323</definedName>
    <definedName name="ns">data!$C$11</definedName>
    <definedName name="P_FET">CALCULATIONS!$C$90</definedName>
    <definedName name="P_FETcond">CALCULATIONS!$C$88</definedName>
    <definedName name="P_FETgate">CALCULATIONS!$C$87</definedName>
    <definedName name="P_FETsw">CALCULATIONS!$C$89</definedName>
    <definedName name="P_Rsense">CALCULATIONS!$C$98</definedName>
    <definedName name="P_rvins">CALCULATIONS!$C$315</definedName>
    <definedName name="P_rvins1">CALCULATIONS!$C$315</definedName>
    <definedName name="Pbridge">CALCULATIONS!$C$43</definedName>
    <definedName name="Pdiode">CALCULATIONS!$C$72</definedName>
    <definedName name="Pdiode_cond">CALCULATIONS!$C$70</definedName>
    <definedName name="Pdiode_reverse">CALCULATIONS!$C$71</definedName>
    <definedName name="Pdivider">CALCULATIONS!$C$140</definedName>
    <definedName name="PF">CALCULATIONS!$C$15</definedName>
    <definedName name="picoF">data!$C$13</definedName>
    <definedName name="Pin_max">CALCULATIONS!$C$30</definedName>
    <definedName name="Pout">CALCULATIONS!$C$13</definedName>
    <definedName name="Prsense">CALCULATIONS!$C$98</definedName>
    <definedName name="Pvins">CALCULATIONS!$C$315</definedName>
    <definedName name="Qg">CALCULATIONS!$C$81</definedName>
    <definedName name="Qrr">CALCULATIONS!$C$66</definedName>
    <definedName name="Rds_on">CALCULATIONS!$C$80</definedName>
    <definedName name="Rfb1_tempco">CALCULATIONS!$C$125</definedName>
    <definedName name="Rfb2_tempco">CALCULATIONS!$C$129</definedName>
    <definedName name="Risense">CALCULATIONS!$C$103</definedName>
    <definedName name="Risense_actual">CALCULATIONS!$C$104</definedName>
    <definedName name="Rjc_bridge">CALCULATIONS!$C$39</definedName>
    <definedName name="Rsense">CALCULATIONS!$C$96</definedName>
    <definedName name="Rth_case_hs">CALCULATIONS!$C$69</definedName>
    <definedName name="Rth_diode">CALCULATIONS!$C$68</definedName>
    <definedName name="Rth_hs_bridge">CALCULATIONS!$C$44</definedName>
    <definedName name="Rth_hs_diode">CALCULATIONS!$C$73</definedName>
    <definedName name="Rth_hs_FET">CALCULATIONS!$C$91</definedName>
    <definedName name="Rth_jc_FET">CALCULATIONS!$C$86</definedName>
    <definedName name="Rtherm">CALCULATIONS!$C$101</definedName>
    <definedName name="Rvcomp">CALCULATIONS!$C$267</definedName>
    <definedName name="Rvins1">CALCULATIONS!$C$309</definedName>
    <definedName name="Rvins2">CALCULATIONS!$C$311</definedName>
    <definedName name="t_dropout_hu">CALCULATIONS!$C$111</definedName>
    <definedName name="t_RFB2Cvsense">data!$H$11</definedName>
    <definedName name="Tamb">CALCULATIONS!$C$17</definedName>
    <definedName name="tf_FET">CALCULATIONS!$C$83</definedName>
    <definedName name="tinput_hu">CALCULATIONS!$C$324</definedName>
    <definedName name="Tj_bridge">CALCULATIONS!$C$40</definedName>
    <definedName name="Tj_diode">CALCULATIONS!$C$67</definedName>
    <definedName name="Tj_FET">CALCULATIONS!$C$85</definedName>
    <definedName name="tr_FET">CALCULATIONS!$C$82</definedName>
    <definedName name="uA">data!$C$15</definedName>
    <definedName name="uC">data!$C$19</definedName>
    <definedName name="uF">data!$C$4</definedName>
    <definedName name="uH">data!$C$10</definedName>
    <definedName name="us">data!$C$9</definedName>
    <definedName name="uSiemens">data!$C$22</definedName>
    <definedName name="V_ripplefactor">CALCULATIONS!$C$49</definedName>
    <definedName name="Vac_off">CALCULATIONS!$C$327</definedName>
    <definedName name="Vac_on">CALCULATIONS!$C$307</definedName>
    <definedName name="Vacin_max">CALCULATIONS!$C$23</definedName>
    <definedName name="Vacin_min">CALCULATIONS!$C$22</definedName>
    <definedName name="Vacin_nom">#REF!</definedName>
    <definedName name="Vacoff_desired">CALCULATIONS!$C$318</definedName>
    <definedName name="VCC">CALCULATIONS!$C$77</definedName>
    <definedName name="Vcomp">data!$H$105</definedName>
    <definedName name="VCOMP1">data!$H$76</definedName>
    <definedName name="VCOMP2">data!$H$85</definedName>
    <definedName name="VCOMP3">data!$H$95</definedName>
    <definedName name="VCOMP4">data!$H$101</definedName>
    <definedName name="VCOMP5">#REF!</definedName>
    <definedName name="Vf">CALCULATIONS!$C$65</definedName>
    <definedName name="Vf_bridge">CALCULATIONS!$C$38</definedName>
    <definedName name="Vgs">CALCULATIONS!$C$78</definedName>
    <definedName name="Vin_max">CALCULATIONS!$C$23</definedName>
    <definedName name="Vin_min">CALCULATIONS!$C$22</definedName>
    <definedName name="Vin_nom">CALCULATIONS!$C$24</definedName>
    <definedName name="Vin_rect_max">CALCULATIONS!$C$29</definedName>
    <definedName name="Vin_rect_min">CALCULATIONS!$C$28</definedName>
    <definedName name="Vin_ripple">CALCULATIONS!$C$51</definedName>
    <definedName name="VINnom">CALCULATIONS!$C$24</definedName>
    <definedName name="Vins_brnmax">data!$H$16</definedName>
    <definedName name="Vins_brnmin">data!$H$15</definedName>
    <definedName name="Vins_brnnom">data!$H$17</definedName>
    <definedName name="Vins_enmax">data!$H$12</definedName>
    <definedName name="Vins_enmin">data!$H$13</definedName>
    <definedName name="Vins_ennom">data!$H$14</definedName>
    <definedName name="Visense_soc">data!$H$2</definedName>
    <definedName name="Vout">CALCULATIONS!$C$14</definedName>
    <definedName name="Vout_holdup">CALCULATIONS!$C$109</definedName>
    <definedName name="Vout_max">CALCULATIONS!$C$132</definedName>
    <definedName name="Vout_min">CALCULATIONS!$C$131</definedName>
    <definedName name="Vout_nom">CALCULATIONS!$C$130</definedName>
    <definedName name="Vout_ripplepp">CALCULATIONS!$C$114</definedName>
    <definedName name="Vovp">CALCULATIONS!$C$133</definedName>
    <definedName name="Vpcl_max">data!$H$3</definedName>
    <definedName name="Vref">data!$H$4</definedName>
    <definedName name="Vref_ovp">data!$H$5</definedName>
    <definedName name="Vref_ovpmax">data!$H$6</definedName>
    <definedName name="Vref_ovpmin">data!$H$7</definedName>
    <definedName name="Vref_uvd">data!$H$8</definedName>
    <definedName name="Vref_uvdmax">data!$H$9</definedName>
    <definedName name="Vref_uvdmin">data!$H$10</definedName>
    <definedName name="Vuvd">CALCULATIONS!$C$136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22" i="1" l="1"/>
  <c r="D91" i="5"/>
  <c r="D64" i="5"/>
  <c r="C257" i="2"/>
  <c r="C258" i="2"/>
  <c r="C264" i="2"/>
  <c r="B256" i="2"/>
  <c r="C256" i="2" s="1"/>
  <c r="B257" i="2"/>
  <c r="B258" i="2"/>
  <c r="B259" i="2"/>
  <c r="C259" i="2" s="1"/>
  <c r="B260" i="2"/>
  <c r="C260" i="2" s="1"/>
  <c r="B261" i="2"/>
  <c r="C261" i="2" s="1"/>
  <c r="B262" i="2"/>
  <c r="C262" i="2" s="1"/>
  <c r="B263" i="2"/>
  <c r="C263" i="2" s="1"/>
  <c r="B264" i="2"/>
  <c r="B265" i="2"/>
  <c r="C265" i="2" s="1"/>
  <c r="C327" i="1" l="1"/>
  <c r="C328" i="1"/>
  <c r="A34" i="2" l="1"/>
  <c r="B34" i="2" s="1"/>
  <c r="C34" i="2" l="1"/>
  <c r="D34" i="2"/>
  <c r="A35" i="2"/>
  <c r="C35" i="2" s="1"/>
  <c r="B35" i="2"/>
  <c r="D35" i="2" s="1"/>
  <c r="C22" i="2"/>
  <c r="H71" i="2" s="1"/>
  <c r="C23" i="2"/>
  <c r="H72" i="2" s="1"/>
  <c r="C100" i="1"/>
  <c r="C97" i="1"/>
  <c r="C21" i="2"/>
  <c r="C20" i="2"/>
  <c r="C19" i="2"/>
  <c r="C18" i="2"/>
  <c r="C17" i="2"/>
  <c r="C16" i="2"/>
  <c r="C15" i="2"/>
  <c r="C14" i="2"/>
  <c r="C13" i="2"/>
  <c r="C12" i="2"/>
  <c r="C11" i="2"/>
  <c r="C10" i="2"/>
  <c r="C9" i="2"/>
  <c r="C8" i="2"/>
  <c r="C7" i="2"/>
  <c r="C6" i="2"/>
  <c r="C5" i="2"/>
  <c r="C2" i="2" s="1"/>
  <c r="C4" i="2"/>
  <c r="C3" i="2"/>
  <c r="C111" i="1" l="1"/>
  <c r="C324" i="1"/>
  <c r="C310" i="1"/>
  <c r="C313" i="1"/>
  <c r="C312" i="1"/>
  <c r="C314" i="1"/>
  <c r="C308" i="1"/>
  <c r="C270" i="1"/>
  <c r="C332" i="1"/>
  <c r="C331" i="1"/>
  <c r="C330" i="1"/>
  <c r="C268" i="1"/>
  <c r="C105" i="1"/>
  <c r="C60" i="1"/>
  <c r="A36" i="2"/>
  <c r="C36" i="2" s="1"/>
  <c r="B36" i="2"/>
  <c r="C133" i="1"/>
  <c r="C126" i="1"/>
  <c r="C139" i="1"/>
  <c r="C130" i="1"/>
  <c r="C137" i="1"/>
  <c r="C135" i="1"/>
  <c r="C134" i="1"/>
  <c r="D69" i="5" s="1"/>
  <c r="C138" i="1"/>
  <c r="C112" i="1"/>
  <c r="C136" i="1"/>
  <c r="H69" i="2"/>
  <c r="C71" i="1"/>
  <c r="H70" i="2"/>
  <c r="C329" i="1" l="1"/>
  <c r="C325" i="1"/>
  <c r="A37" i="2"/>
  <c r="A38" i="2" s="1"/>
  <c r="D36" i="2"/>
  <c r="C140" i="1"/>
  <c r="C131" i="1"/>
  <c r="C132" i="1"/>
  <c r="C31" i="1"/>
  <c r="C32" i="1" s="1"/>
  <c r="C89" i="1" s="1"/>
  <c r="D39" i="5"/>
  <c r="C29" i="1"/>
  <c r="D87" i="5"/>
  <c r="D89" i="5"/>
  <c r="D85" i="5"/>
  <c r="D83" i="5"/>
  <c r="D81" i="5"/>
  <c r="D79" i="5"/>
  <c r="D77" i="5"/>
  <c r="D75" i="5"/>
  <c r="D73" i="5"/>
  <c r="C18" i="1"/>
  <c r="C168" i="1" s="1"/>
  <c r="C28" i="1"/>
  <c r="C56" i="1" s="1"/>
  <c r="D50" i="5" s="1"/>
  <c r="D68" i="5"/>
  <c r="E57" i="5"/>
  <c r="D49" i="5"/>
  <c r="D46" i="5"/>
  <c r="E66" i="5"/>
  <c r="E62" i="5"/>
  <c r="D61" i="5"/>
  <c r="E59" i="5"/>
  <c r="E58" i="5"/>
  <c r="E56" i="5"/>
  <c r="E54" i="5"/>
  <c r="E43" i="5"/>
  <c r="E53" i="5"/>
  <c r="D53" i="5"/>
  <c r="E52" i="5"/>
  <c r="E49" i="5"/>
  <c r="E48" i="5"/>
  <c r="E47" i="5"/>
  <c r="D47" i="5"/>
  <c r="E42" i="5"/>
  <c r="E41" i="5"/>
  <c r="E40" i="5"/>
  <c r="E39" i="5"/>
  <c r="E48" i="1"/>
  <c r="C99" i="1"/>
  <c r="C78" i="1"/>
  <c r="C87" i="1" s="1"/>
  <c r="C30" i="1"/>
  <c r="E16" i="1"/>
  <c r="E15" i="1"/>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06" i="2"/>
  <c r="J207" i="2"/>
  <c r="J208" i="2"/>
  <c r="J205" i="2"/>
  <c r="B283" i="2"/>
  <c r="C283" i="2" s="1"/>
  <c r="B295" i="2"/>
  <c r="C295" i="2" s="1"/>
  <c r="B273" i="2"/>
  <c r="C273" i="2" s="1"/>
  <c r="B274" i="2"/>
  <c r="C274" i="2" s="1"/>
  <c r="B275" i="2"/>
  <c r="C275" i="2" s="1"/>
  <c r="B276" i="2"/>
  <c r="C276" i="2" s="1"/>
  <c r="B277" i="2"/>
  <c r="C277" i="2" s="1"/>
  <c r="B278" i="2"/>
  <c r="C278" i="2" s="1"/>
  <c r="B279" i="2"/>
  <c r="C279" i="2" s="1"/>
  <c r="B280" i="2"/>
  <c r="C280" i="2" s="1"/>
  <c r="B281" i="2"/>
  <c r="C281" i="2" s="1"/>
  <c r="B282" i="2"/>
  <c r="C282" i="2" s="1"/>
  <c r="H235" i="2"/>
  <c r="I235" i="2" s="1"/>
  <c r="H236" i="2"/>
  <c r="I236" i="2" s="1"/>
  <c r="H237" i="2"/>
  <c r="I237" i="2" s="1"/>
  <c r="P237" i="2" s="1"/>
  <c r="Q237" i="2" s="1"/>
  <c r="H206" i="2"/>
  <c r="I206" i="2"/>
  <c r="H207" i="2"/>
  <c r="I207" i="2" s="1"/>
  <c r="P207" i="2" s="1"/>
  <c r="Q207" i="2" s="1"/>
  <c r="H208" i="2"/>
  <c r="I208" i="2" s="1"/>
  <c r="H209" i="2"/>
  <c r="I209" i="2" s="1"/>
  <c r="P209" i="2" s="1"/>
  <c r="Q209" i="2" s="1"/>
  <c r="H210" i="2"/>
  <c r="I210" i="2" s="1"/>
  <c r="H211" i="2"/>
  <c r="I211" i="2" s="1"/>
  <c r="P211" i="2" s="1"/>
  <c r="Q211" i="2" s="1"/>
  <c r="H212" i="2"/>
  <c r="I212" i="2" s="1"/>
  <c r="H213" i="2"/>
  <c r="I213" i="2" s="1"/>
  <c r="P213" i="2" s="1"/>
  <c r="Q213" i="2" s="1"/>
  <c r="H214" i="2"/>
  <c r="I214" i="2"/>
  <c r="H215" i="2"/>
  <c r="I215" i="2" s="1"/>
  <c r="P215" i="2" s="1"/>
  <c r="Q215" i="2" s="1"/>
  <c r="H216" i="2"/>
  <c r="I216" i="2" s="1"/>
  <c r="H217" i="2"/>
  <c r="I217" i="2" s="1"/>
  <c r="P217" i="2" s="1"/>
  <c r="Q217" i="2" s="1"/>
  <c r="H218" i="2"/>
  <c r="I218" i="2" s="1"/>
  <c r="H219" i="2"/>
  <c r="I219" i="2" s="1"/>
  <c r="P219" i="2" s="1"/>
  <c r="Q219" i="2" s="1"/>
  <c r="H220" i="2"/>
  <c r="I220" i="2" s="1"/>
  <c r="H221" i="2"/>
  <c r="I221" i="2" s="1"/>
  <c r="P221" i="2" s="1"/>
  <c r="Q221" i="2" s="1"/>
  <c r="H222" i="2"/>
  <c r="I222" i="2" s="1"/>
  <c r="H223" i="2"/>
  <c r="I223" i="2" s="1"/>
  <c r="P223" i="2" s="1"/>
  <c r="Q223" i="2" s="1"/>
  <c r="H224" i="2"/>
  <c r="I224" i="2" s="1"/>
  <c r="H225" i="2"/>
  <c r="I225" i="2" s="1"/>
  <c r="P225" i="2" s="1"/>
  <c r="Q225" i="2" s="1"/>
  <c r="H226" i="2"/>
  <c r="I226" i="2" s="1"/>
  <c r="H227" i="2"/>
  <c r="I227" i="2" s="1"/>
  <c r="P227" i="2" s="1"/>
  <c r="Q227" i="2" s="1"/>
  <c r="H228" i="2"/>
  <c r="I228" i="2" s="1"/>
  <c r="H229" i="2"/>
  <c r="I229" i="2" s="1"/>
  <c r="P229" i="2" s="1"/>
  <c r="Q229" i="2" s="1"/>
  <c r="H230" i="2"/>
  <c r="I230" i="2" s="1"/>
  <c r="H231" i="2"/>
  <c r="I231" i="2" s="1"/>
  <c r="P231" i="2" s="1"/>
  <c r="Q231" i="2" s="1"/>
  <c r="H232" i="2"/>
  <c r="I232" i="2" s="1"/>
  <c r="H233" i="2"/>
  <c r="I233" i="2" s="1"/>
  <c r="P233" i="2" s="1"/>
  <c r="Q233" i="2" s="1"/>
  <c r="H234" i="2"/>
  <c r="I234" i="2" s="1"/>
  <c r="H238" i="2"/>
  <c r="I238" i="2" s="1"/>
  <c r="H239" i="2"/>
  <c r="I239" i="2" s="1"/>
  <c r="P239" i="2" s="1"/>
  <c r="Q239" i="2" s="1"/>
  <c r="H240" i="2"/>
  <c r="I240" i="2" s="1"/>
  <c r="H241" i="2"/>
  <c r="I241" i="2" s="1"/>
  <c r="P241" i="2" s="1"/>
  <c r="Q241" i="2" s="1"/>
  <c r="H242" i="2"/>
  <c r="I242" i="2" s="1"/>
  <c r="H243" i="2"/>
  <c r="I243" i="2" s="1"/>
  <c r="P243" i="2" s="1"/>
  <c r="Q243" i="2" s="1"/>
  <c r="H244" i="2"/>
  <c r="I244" i="2" s="1"/>
  <c r="H245" i="2"/>
  <c r="I245" i="2" s="1"/>
  <c r="P245" i="2" s="1"/>
  <c r="Q245" i="2" s="1"/>
  <c r="H246" i="2"/>
  <c r="I246" i="2" s="1"/>
  <c r="H247" i="2"/>
  <c r="I247" i="2" s="1"/>
  <c r="P247" i="2" s="1"/>
  <c r="Q247" i="2" s="1"/>
  <c r="H248" i="2"/>
  <c r="I248" i="2" s="1"/>
  <c r="H249" i="2"/>
  <c r="I249" i="2" s="1"/>
  <c r="P249" i="2" s="1"/>
  <c r="Q249" i="2" s="1"/>
  <c r="H250" i="2"/>
  <c r="I250" i="2" s="1"/>
  <c r="H251" i="2"/>
  <c r="I251" i="2" s="1"/>
  <c r="P251" i="2" s="1"/>
  <c r="Q251" i="2" s="1"/>
  <c r="H252" i="2"/>
  <c r="I252" i="2" s="1"/>
  <c r="H253" i="2"/>
  <c r="I253" i="2"/>
  <c r="P253" i="2" s="1"/>
  <c r="Q253" i="2" s="1"/>
  <c r="H254" i="2"/>
  <c r="I254" i="2" s="1"/>
  <c r="H255" i="2"/>
  <c r="I255" i="2" s="1"/>
  <c r="P255" i="2" s="1"/>
  <c r="Q255" i="2" s="1"/>
  <c r="H256" i="2"/>
  <c r="I256" i="2" s="1"/>
  <c r="H257" i="2"/>
  <c r="I257" i="2" s="1"/>
  <c r="P257" i="2" s="1"/>
  <c r="Q257" i="2" s="1"/>
  <c r="H258" i="2"/>
  <c r="I258" i="2" s="1"/>
  <c r="H259" i="2"/>
  <c r="I259" i="2" s="1"/>
  <c r="P259" i="2" s="1"/>
  <c r="Q259" i="2" s="1"/>
  <c r="H260" i="2"/>
  <c r="I260" i="2" s="1"/>
  <c r="H261" i="2"/>
  <c r="I261" i="2" s="1"/>
  <c r="P261" i="2" s="1"/>
  <c r="Q261" i="2" s="1"/>
  <c r="H262" i="2"/>
  <c r="I262" i="2" s="1"/>
  <c r="H263" i="2"/>
  <c r="I263" i="2"/>
  <c r="P263" i="2" s="1"/>
  <c r="Q263" i="2" s="1"/>
  <c r="H264" i="2"/>
  <c r="I264" i="2" s="1"/>
  <c r="H265" i="2"/>
  <c r="I265" i="2" s="1"/>
  <c r="P265" i="2" s="1"/>
  <c r="Q265" i="2" s="1"/>
  <c r="H205" i="2"/>
  <c r="I205" i="2" s="1"/>
  <c r="P205" i="2" s="1"/>
  <c r="Q205" i="2" s="1"/>
  <c r="B205" i="2"/>
  <c r="C205" i="2" s="1"/>
  <c r="C33" i="2"/>
  <c r="B382" i="2"/>
  <c r="C382" i="2" s="1"/>
  <c r="B381" i="2"/>
  <c r="C381" i="2" s="1"/>
  <c r="B380" i="2"/>
  <c r="C380" i="2" s="1"/>
  <c r="B379" i="2"/>
  <c r="C379" i="2" s="1"/>
  <c r="B378" i="2"/>
  <c r="C378" i="2" s="1"/>
  <c r="B377" i="2"/>
  <c r="C377" i="2" s="1"/>
  <c r="B376" i="2"/>
  <c r="C376" i="2" s="1"/>
  <c r="B375" i="2"/>
  <c r="C375" i="2" s="1"/>
  <c r="B374" i="2"/>
  <c r="C374" i="2" s="1"/>
  <c r="B373" i="2"/>
  <c r="C373" i="2" s="1"/>
  <c r="B372" i="2"/>
  <c r="C372" i="2" s="1"/>
  <c r="B371" i="2"/>
  <c r="C371" i="2" s="1"/>
  <c r="B370" i="2"/>
  <c r="C370" i="2" s="1"/>
  <c r="B369" i="2"/>
  <c r="C369" i="2" s="1"/>
  <c r="B368" i="2"/>
  <c r="C368" i="2" s="1"/>
  <c r="B367" i="2"/>
  <c r="C367" i="2" s="1"/>
  <c r="B366" i="2"/>
  <c r="C366" i="2" s="1"/>
  <c r="B365" i="2"/>
  <c r="C365" i="2" s="1"/>
  <c r="B364" i="2"/>
  <c r="C364" i="2" s="1"/>
  <c r="B363" i="2"/>
  <c r="C363" i="2" s="1"/>
  <c r="B362" i="2"/>
  <c r="C362" i="2" s="1"/>
  <c r="B361" i="2"/>
  <c r="C361" i="2" s="1"/>
  <c r="B360" i="2"/>
  <c r="C360" i="2" s="1"/>
  <c r="B359" i="2"/>
  <c r="C359" i="2" s="1"/>
  <c r="B358" i="2"/>
  <c r="C358" i="2" s="1"/>
  <c r="B357" i="2"/>
  <c r="C357" i="2" s="1"/>
  <c r="B356" i="2"/>
  <c r="C356" i="2" s="1"/>
  <c r="B355" i="2"/>
  <c r="C355" i="2" s="1"/>
  <c r="B354" i="2"/>
  <c r="C354" i="2" s="1"/>
  <c r="B353" i="2"/>
  <c r="C353" i="2" s="1"/>
  <c r="B352" i="2"/>
  <c r="C352" i="2" s="1"/>
  <c r="B351" i="2"/>
  <c r="C351" i="2" s="1"/>
  <c r="B350" i="2"/>
  <c r="C350" i="2" s="1"/>
  <c r="B349" i="2"/>
  <c r="C349" i="2" s="1"/>
  <c r="B348" i="2"/>
  <c r="C348" i="2" s="1"/>
  <c r="B347" i="2"/>
  <c r="C347" i="2" s="1"/>
  <c r="B346" i="2"/>
  <c r="C346" i="2" s="1"/>
  <c r="B345" i="2"/>
  <c r="C345" i="2" s="1"/>
  <c r="B344" i="2"/>
  <c r="C344" i="2" s="1"/>
  <c r="B343" i="2"/>
  <c r="C343" i="2" s="1"/>
  <c r="B342" i="2"/>
  <c r="C342" i="2" s="1"/>
  <c r="B341" i="2"/>
  <c r="C341" i="2" s="1"/>
  <c r="B340" i="2"/>
  <c r="C340" i="2" s="1"/>
  <c r="B339" i="2"/>
  <c r="C339" i="2" s="1"/>
  <c r="B338" i="2"/>
  <c r="C338" i="2" s="1"/>
  <c r="B337" i="2"/>
  <c r="C337" i="2" s="1"/>
  <c r="B336" i="2"/>
  <c r="C336" i="2" s="1"/>
  <c r="B335" i="2"/>
  <c r="C335" i="2" s="1"/>
  <c r="B334" i="2"/>
  <c r="C334" i="2" s="1"/>
  <c r="B333" i="2"/>
  <c r="C333" i="2" s="1"/>
  <c r="B332" i="2"/>
  <c r="C332" i="2" s="1"/>
  <c r="B331" i="2"/>
  <c r="C331" i="2" s="1"/>
  <c r="B330" i="2"/>
  <c r="C330" i="2" s="1"/>
  <c r="B329" i="2"/>
  <c r="C329" i="2" s="1"/>
  <c r="B328" i="2"/>
  <c r="C328" i="2" s="1"/>
  <c r="B327" i="2"/>
  <c r="C327" i="2" s="1"/>
  <c r="B326" i="2"/>
  <c r="C326" i="2" s="1"/>
  <c r="B325" i="2"/>
  <c r="C325" i="2" s="1"/>
  <c r="B324" i="2"/>
  <c r="C324" i="2" s="1"/>
  <c r="B323" i="2"/>
  <c r="C323" i="2" s="1"/>
  <c r="B322" i="2"/>
  <c r="C322" i="2" s="1"/>
  <c r="B321" i="2"/>
  <c r="C321" i="2" s="1"/>
  <c r="B320" i="2"/>
  <c r="C320" i="2" s="1"/>
  <c r="B319" i="2"/>
  <c r="C319" i="2" s="1"/>
  <c r="B318" i="2"/>
  <c r="C318" i="2" s="1"/>
  <c r="B317" i="2"/>
  <c r="C317" i="2" s="1"/>
  <c r="B316" i="2"/>
  <c r="C316" i="2" s="1"/>
  <c r="B315" i="2"/>
  <c r="C315" i="2" s="1"/>
  <c r="B314" i="2"/>
  <c r="C314" i="2" s="1"/>
  <c r="B313" i="2"/>
  <c r="C313" i="2" s="1"/>
  <c r="B312" i="2"/>
  <c r="C312" i="2" s="1"/>
  <c r="B311" i="2"/>
  <c r="C311" i="2" s="1"/>
  <c r="B310" i="2"/>
  <c r="C310" i="2" s="1"/>
  <c r="B309" i="2"/>
  <c r="C309" i="2" s="1"/>
  <c r="B308" i="2"/>
  <c r="C308" i="2" s="1"/>
  <c r="B307" i="2"/>
  <c r="C307" i="2" s="1"/>
  <c r="B306" i="2"/>
  <c r="C306" i="2" s="1"/>
  <c r="B305" i="2"/>
  <c r="C305" i="2" s="1"/>
  <c r="B304" i="2"/>
  <c r="C304" i="2" s="1"/>
  <c r="B303" i="2"/>
  <c r="C303" i="2" s="1"/>
  <c r="B302" i="2"/>
  <c r="C302" i="2" s="1"/>
  <c r="B301" i="2"/>
  <c r="C301" i="2" s="1"/>
  <c r="B300" i="2"/>
  <c r="C300" i="2" s="1"/>
  <c r="B299" i="2"/>
  <c r="C299" i="2" s="1"/>
  <c r="B298" i="2"/>
  <c r="C298" i="2" s="1"/>
  <c r="B297" i="2"/>
  <c r="C297" i="2" s="1"/>
  <c r="B296" i="2"/>
  <c r="C296" i="2" s="1"/>
  <c r="B294" i="2"/>
  <c r="C294" i="2" s="1"/>
  <c r="B293" i="2"/>
  <c r="C293" i="2" s="1"/>
  <c r="B292" i="2"/>
  <c r="C292" i="2" s="1"/>
  <c r="B291" i="2"/>
  <c r="C291" i="2" s="1"/>
  <c r="B290" i="2"/>
  <c r="C290" i="2" s="1"/>
  <c r="B289" i="2"/>
  <c r="C289" i="2" s="1"/>
  <c r="B288" i="2"/>
  <c r="C288" i="2" s="1"/>
  <c r="B287" i="2"/>
  <c r="C287" i="2" s="1"/>
  <c r="B284" i="2"/>
  <c r="C284" i="2" s="1"/>
  <c r="B285" i="2"/>
  <c r="C285" i="2" s="1"/>
  <c r="B286" i="2"/>
  <c r="C286" i="2" s="1"/>
  <c r="B244" i="2"/>
  <c r="C244" i="2" s="1"/>
  <c r="B245" i="2"/>
  <c r="C245" i="2" s="1"/>
  <c r="B246" i="2"/>
  <c r="C246" i="2" s="1"/>
  <c r="B247" i="2"/>
  <c r="C247" i="2" s="1"/>
  <c r="B248" i="2"/>
  <c r="C248" i="2" s="1"/>
  <c r="B249" i="2"/>
  <c r="C249" i="2" s="1"/>
  <c r="B250" i="2"/>
  <c r="C250" i="2" s="1"/>
  <c r="B251" i="2"/>
  <c r="C251" i="2" s="1"/>
  <c r="B252" i="2"/>
  <c r="C252" i="2" s="1"/>
  <c r="B253" i="2"/>
  <c r="C253" i="2" s="1"/>
  <c r="B254" i="2"/>
  <c r="C254" i="2" s="1"/>
  <c r="B255" i="2"/>
  <c r="C255" i="2" s="1"/>
  <c r="B206" i="2"/>
  <c r="C206" i="2" s="1"/>
  <c r="B207" i="2"/>
  <c r="C207" i="2" s="1"/>
  <c r="B208" i="2"/>
  <c r="C208" i="2" s="1"/>
  <c r="B209" i="2"/>
  <c r="C209" i="2" s="1"/>
  <c r="B210" i="2"/>
  <c r="C210" i="2" s="1"/>
  <c r="B211" i="2"/>
  <c r="C211" i="2" s="1"/>
  <c r="B212" i="2"/>
  <c r="C212" i="2" s="1"/>
  <c r="B213" i="2"/>
  <c r="C213" i="2" s="1"/>
  <c r="B214" i="2"/>
  <c r="C214" i="2" s="1"/>
  <c r="B215" i="2"/>
  <c r="C215" i="2" s="1"/>
  <c r="B216" i="2"/>
  <c r="C216" i="2" s="1"/>
  <c r="B217" i="2"/>
  <c r="C217" i="2" s="1"/>
  <c r="B218" i="2"/>
  <c r="C218" i="2" s="1"/>
  <c r="B219" i="2"/>
  <c r="C219" i="2" s="1"/>
  <c r="B220" i="2"/>
  <c r="C220" i="2" s="1"/>
  <c r="B221" i="2"/>
  <c r="C221" i="2" s="1"/>
  <c r="B222" i="2"/>
  <c r="C222" i="2" s="1"/>
  <c r="B223" i="2"/>
  <c r="C223" i="2" s="1"/>
  <c r="B224" i="2"/>
  <c r="C224" i="2" s="1"/>
  <c r="B225" i="2"/>
  <c r="C225" i="2" s="1"/>
  <c r="B226" i="2"/>
  <c r="C226" i="2" s="1"/>
  <c r="B227" i="2"/>
  <c r="C227" i="2" s="1"/>
  <c r="B228" i="2"/>
  <c r="C228" i="2" s="1"/>
  <c r="B229" i="2"/>
  <c r="C229" i="2" s="1"/>
  <c r="B230" i="2"/>
  <c r="C230" i="2" s="1"/>
  <c r="B231" i="2"/>
  <c r="C231" i="2" s="1"/>
  <c r="B232" i="2"/>
  <c r="C232" i="2" s="1"/>
  <c r="B233" i="2"/>
  <c r="C233" i="2" s="1"/>
  <c r="B234" i="2"/>
  <c r="C234" i="2" s="1"/>
  <c r="B235" i="2"/>
  <c r="C235" i="2" s="1"/>
  <c r="B236" i="2"/>
  <c r="C236" i="2" s="1"/>
  <c r="B237" i="2"/>
  <c r="C237" i="2" s="1"/>
  <c r="B238" i="2"/>
  <c r="C238" i="2" s="1"/>
  <c r="B239" i="2"/>
  <c r="C239" i="2" s="1"/>
  <c r="B240" i="2"/>
  <c r="C240" i="2" s="1"/>
  <c r="B241" i="2"/>
  <c r="C241" i="2" s="1"/>
  <c r="B242" i="2"/>
  <c r="C242" i="2" s="1"/>
  <c r="B243" i="2"/>
  <c r="C243" i="2" s="1"/>
  <c r="B33" i="2"/>
  <c r="E14" i="1" l="1"/>
  <c r="C315" i="1"/>
  <c r="H101" i="2"/>
  <c r="D293" i="2"/>
  <c r="D309" i="2"/>
  <c r="D325" i="2"/>
  <c r="D341" i="2"/>
  <c r="D357" i="2"/>
  <c r="D373" i="2"/>
  <c r="D288" i="2"/>
  <c r="D302" i="2"/>
  <c r="D318" i="2"/>
  <c r="D334" i="2"/>
  <c r="D350" i="2"/>
  <c r="D366" i="2"/>
  <c r="D382" i="2"/>
  <c r="D280" i="2"/>
  <c r="D304" i="2"/>
  <c r="D320" i="2"/>
  <c r="D336" i="2"/>
  <c r="D352" i="2"/>
  <c r="D368" i="2"/>
  <c r="D283" i="2"/>
  <c r="D273" i="2"/>
  <c r="D335" i="2"/>
  <c r="D281" i="2"/>
  <c r="D315" i="2"/>
  <c r="D323" i="2"/>
  <c r="D286" i="2"/>
  <c r="D290" i="2"/>
  <c r="D299" i="2"/>
  <c r="D321" i="2"/>
  <c r="D314" i="2"/>
  <c r="D362" i="2"/>
  <c r="D300" i="2"/>
  <c r="D348" i="2"/>
  <c r="D278" i="2"/>
  <c r="D375" i="2"/>
  <c r="D359" i="2"/>
  <c r="D297" i="2"/>
  <c r="D313" i="2"/>
  <c r="D329" i="2"/>
  <c r="D345" i="2"/>
  <c r="D361" i="2"/>
  <c r="D377" i="2"/>
  <c r="D279" i="2"/>
  <c r="D306" i="2"/>
  <c r="D322" i="2"/>
  <c r="D338" i="2"/>
  <c r="D354" i="2"/>
  <c r="D370" i="2"/>
  <c r="D285" i="2"/>
  <c r="D292" i="2"/>
  <c r="D308" i="2"/>
  <c r="D324" i="2"/>
  <c r="D340" i="2"/>
  <c r="D356" i="2"/>
  <c r="D372" i="2"/>
  <c r="D287" i="2"/>
  <c r="D275" i="2"/>
  <c r="D351" i="2"/>
  <c r="D311" i="2"/>
  <c r="D379" i="2"/>
  <c r="D339" i="2"/>
  <c r="D295" i="2"/>
  <c r="D331" i="2"/>
  <c r="D347" i="2"/>
  <c r="D353" i="2"/>
  <c r="D298" i="2"/>
  <c r="D346" i="2"/>
  <c r="D276" i="2"/>
  <c r="D332" i="2"/>
  <c r="D380" i="2"/>
  <c r="D282" i="2"/>
  <c r="D371" i="2"/>
  <c r="D301" i="2"/>
  <c r="D317" i="2"/>
  <c r="D333" i="2"/>
  <c r="D349" i="2"/>
  <c r="D365" i="2"/>
  <c r="D381" i="2"/>
  <c r="D294" i="2"/>
  <c r="D310" i="2"/>
  <c r="D326" i="2"/>
  <c r="D342" i="2"/>
  <c r="D358" i="2"/>
  <c r="D374" i="2"/>
  <c r="D289" i="2"/>
  <c r="D296" i="2"/>
  <c r="D312" i="2"/>
  <c r="D328" i="2"/>
  <c r="D344" i="2"/>
  <c r="D360" i="2"/>
  <c r="D376" i="2"/>
  <c r="D274" i="2"/>
  <c r="D303" i="2"/>
  <c r="D367" i="2"/>
  <c r="D343" i="2"/>
  <c r="D291" i="2"/>
  <c r="D355" i="2"/>
  <c r="D327" i="2"/>
  <c r="D363" i="2"/>
  <c r="D305" i="2"/>
  <c r="D337" i="2"/>
  <c r="D369" i="2"/>
  <c r="D284" i="2"/>
  <c r="D330" i="2"/>
  <c r="D378" i="2"/>
  <c r="D316" i="2"/>
  <c r="D364" i="2"/>
  <c r="D319" i="2"/>
  <c r="D307" i="2"/>
  <c r="D277" i="2"/>
  <c r="C261" i="1"/>
  <c r="C37" i="2"/>
  <c r="B37" i="2"/>
  <c r="A39" i="2"/>
  <c r="B38" i="2"/>
  <c r="C38" i="2"/>
  <c r="H95" i="2"/>
  <c r="H85" i="2"/>
  <c r="H76" i="2"/>
  <c r="H74" i="2"/>
  <c r="D33" i="2"/>
  <c r="C42" i="1"/>
  <c r="D41" i="5" s="1"/>
  <c r="C102" i="1"/>
  <c r="C103" i="1" s="1"/>
  <c r="C114" i="1"/>
  <c r="A115" i="1" s="1"/>
  <c r="D58" i="5"/>
  <c r="C79" i="1"/>
  <c r="D56" i="5" s="1"/>
  <c r="C117" i="1"/>
  <c r="D71" i="5" s="1"/>
  <c r="C34" i="1"/>
  <c r="D40" i="5" s="1"/>
  <c r="C98" i="1"/>
  <c r="D62" i="5" s="1"/>
  <c r="C116" i="1"/>
  <c r="D70" i="5" s="1"/>
  <c r="C61" i="1"/>
  <c r="C50" i="1"/>
  <c r="C58" i="1" s="1"/>
  <c r="C33" i="1"/>
  <c r="P235" i="2"/>
  <c r="Q235" i="2" s="1"/>
  <c r="P236" i="2"/>
  <c r="Q236" i="2" s="1"/>
  <c r="W205" i="2"/>
  <c r="C51" i="1"/>
  <c r="C70" i="1"/>
  <c r="C72" i="1" s="1"/>
  <c r="P208" i="2"/>
  <c r="Q208" i="2" s="1"/>
  <c r="P206" i="2"/>
  <c r="Q206" i="2" s="1"/>
  <c r="P264" i="2"/>
  <c r="Q264" i="2" s="1"/>
  <c r="P262" i="2"/>
  <c r="Q262" i="2" s="1"/>
  <c r="P260" i="2"/>
  <c r="Q260" i="2" s="1"/>
  <c r="P258" i="2"/>
  <c r="Q258" i="2" s="1"/>
  <c r="P256" i="2"/>
  <c r="Q256" i="2" s="1"/>
  <c r="P254" i="2"/>
  <c r="Q254" i="2" s="1"/>
  <c r="P252" i="2"/>
  <c r="Q252" i="2" s="1"/>
  <c r="P250" i="2"/>
  <c r="Q250" i="2" s="1"/>
  <c r="P248" i="2"/>
  <c r="Q248" i="2" s="1"/>
  <c r="P246" i="2"/>
  <c r="Q246" i="2" s="1"/>
  <c r="P244" i="2"/>
  <c r="Q244" i="2" s="1"/>
  <c r="P242" i="2"/>
  <c r="Q242" i="2" s="1"/>
  <c r="P240" i="2"/>
  <c r="Q240" i="2" s="1"/>
  <c r="P238" i="2"/>
  <c r="Q238" i="2" s="1"/>
  <c r="P234" i="2"/>
  <c r="Q234" i="2" s="1"/>
  <c r="P232" i="2"/>
  <c r="Q232" i="2" s="1"/>
  <c r="P230" i="2"/>
  <c r="Q230" i="2" s="1"/>
  <c r="P228" i="2"/>
  <c r="Q228" i="2" s="1"/>
  <c r="P226" i="2"/>
  <c r="Q226" i="2" s="1"/>
  <c r="P224" i="2"/>
  <c r="Q224" i="2" s="1"/>
  <c r="P222" i="2"/>
  <c r="Q222" i="2" s="1"/>
  <c r="P220" i="2"/>
  <c r="Q220" i="2" s="1"/>
  <c r="P218" i="2"/>
  <c r="Q218" i="2" s="1"/>
  <c r="P216" i="2"/>
  <c r="Q216" i="2" s="1"/>
  <c r="P214" i="2"/>
  <c r="Q214" i="2" s="1"/>
  <c r="P212" i="2"/>
  <c r="Q212" i="2" s="1"/>
  <c r="P210" i="2"/>
  <c r="Q210" i="2" s="1"/>
  <c r="Y205" i="2"/>
  <c r="X205" i="2"/>
  <c r="D37" i="2" l="1"/>
  <c r="C266" i="1"/>
  <c r="D38" i="2"/>
  <c r="A40" i="2"/>
  <c r="B39" i="2"/>
  <c r="C39" i="2"/>
  <c r="D66" i="5"/>
  <c r="H105" i="2"/>
  <c r="C172" i="1" s="1"/>
  <c r="C52" i="1"/>
  <c r="D45" i="5" s="1"/>
  <c r="C57" i="1"/>
  <c r="C95" i="1" s="1"/>
  <c r="C88" i="1"/>
  <c r="C90" i="1" s="1"/>
  <c r="D59" i="5" s="1"/>
  <c r="C118" i="1"/>
  <c r="D54" i="5"/>
  <c r="C73" i="1"/>
  <c r="D48" i="5"/>
  <c r="D57" i="5"/>
  <c r="D52" i="5"/>
  <c r="C43" i="1"/>
  <c r="C41" i="1"/>
  <c r="D42" i="5" s="1"/>
  <c r="K260" i="2" l="1"/>
  <c r="M260" i="2" s="1"/>
  <c r="R260" i="2" s="1"/>
  <c r="K264" i="2"/>
  <c r="M264" i="2" s="1"/>
  <c r="R264" i="2" s="1"/>
  <c r="K243" i="2"/>
  <c r="M243" i="2" s="1"/>
  <c r="R243" i="2" s="1"/>
  <c r="K247" i="2"/>
  <c r="M247" i="2" s="1"/>
  <c r="R247" i="2" s="1"/>
  <c r="K251" i="2"/>
  <c r="M251" i="2" s="1"/>
  <c r="R251" i="2" s="1"/>
  <c r="K255" i="2"/>
  <c r="M255" i="2" s="1"/>
  <c r="R255" i="2" s="1"/>
  <c r="K259" i="2"/>
  <c r="M259" i="2" s="1"/>
  <c r="R259" i="2" s="1"/>
  <c r="K225" i="2"/>
  <c r="M225" i="2" s="1"/>
  <c r="R225" i="2" s="1"/>
  <c r="K229" i="2"/>
  <c r="M229" i="2" s="1"/>
  <c r="R229" i="2" s="1"/>
  <c r="K233" i="2"/>
  <c r="M233" i="2" s="1"/>
  <c r="R233" i="2" s="1"/>
  <c r="K237" i="2"/>
  <c r="M237" i="2" s="1"/>
  <c r="R237" i="2" s="1"/>
  <c r="K206" i="2"/>
  <c r="M206" i="2" s="1"/>
  <c r="K210" i="2"/>
  <c r="M210" i="2" s="1"/>
  <c r="R210" i="2" s="1"/>
  <c r="K214" i="2"/>
  <c r="M214" i="2" s="1"/>
  <c r="R214" i="2" s="1"/>
  <c r="K218" i="2"/>
  <c r="M218" i="2" s="1"/>
  <c r="R218" i="2" s="1"/>
  <c r="K205" i="2"/>
  <c r="K241" i="2"/>
  <c r="M241" i="2" s="1"/>
  <c r="R241" i="2" s="1"/>
  <c r="K261" i="2"/>
  <c r="M261" i="2" s="1"/>
  <c r="R261" i="2" s="1"/>
  <c r="K265" i="2"/>
  <c r="M265" i="2" s="1"/>
  <c r="R265" i="2" s="1"/>
  <c r="K244" i="2"/>
  <c r="M244" i="2" s="1"/>
  <c r="R244" i="2" s="1"/>
  <c r="K248" i="2"/>
  <c r="M248" i="2" s="1"/>
  <c r="R248" i="2" s="1"/>
  <c r="K252" i="2"/>
  <c r="M252" i="2" s="1"/>
  <c r="R252" i="2" s="1"/>
  <c r="K256" i="2"/>
  <c r="M256" i="2" s="1"/>
  <c r="R256" i="2" s="1"/>
  <c r="K222" i="2"/>
  <c r="M222" i="2" s="1"/>
  <c r="R222" i="2" s="1"/>
  <c r="K226" i="2"/>
  <c r="M226" i="2" s="1"/>
  <c r="R226" i="2" s="1"/>
  <c r="K230" i="2"/>
  <c r="M230" i="2" s="1"/>
  <c r="R230" i="2" s="1"/>
  <c r="K234" i="2"/>
  <c r="M234" i="2" s="1"/>
  <c r="R234" i="2" s="1"/>
  <c r="K238" i="2"/>
  <c r="M238" i="2" s="1"/>
  <c r="R238" i="2" s="1"/>
  <c r="K207" i="2"/>
  <c r="M207" i="2" s="1"/>
  <c r="R207" i="2" s="1"/>
  <c r="K211" i="2"/>
  <c r="M211" i="2" s="1"/>
  <c r="R211" i="2" s="1"/>
  <c r="K215" i="2"/>
  <c r="M215" i="2" s="1"/>
  <c r="R215" i="2" s="1"/>
  <c r="K219" i="2"/>
  <c r="M219" i="2" s="1"/>
  <c r="R219" i="2" s="1"/>
  <c r="C263" i="1"/>
  <c r="C264" i="1" s="1"/>
  <c r="K245" i="2"/>
  <c r="M245" i="2" s="1"/>
  <c r="R245" i="2" s="1"/>
  <c r="K263" i="2"/>
  <c r="M263" i="2" s="1"/>
  <c r="R263" i="2" s="1"/>
  <c r="K242" i="2"/>
  <c r="M242" i="2" s="1"/>
  <c r="R242" i="2" s="1"/>
  <c r="K246" i="2"/>
  <c r="M246" i="2" s="1"/>
  <c r="R246" i="2" s="1"/>
  <c r="K250" i="2"/>
  <c r="M250" i="2" s="1"/>
  <c r="R250" i="2" s="1"/>
  <c r="K254" i="2"/>
  <c r="K258" i="2"/>
  <c r="M258" i="2" s="1"/>
  <c r="R258" i="2" s="1"/>
  <c r="K224" i="2"/>
  <c r="M224" i="2" s="1"/>
  <c r="R224" i="2" s="1"/>
  <c r="K228" i="2"/>
  <c r="M228" i="2" s="1"/>
  <c r="R228" i="2" s="1"/>
  <c r="K232" i="2"/>
  <c r="M232" i="2" s="1"/>
  <c r="R232" i="2" s="1"/>
  <c r="K236" i="2"/>
  <c r="M236" i="2" s="1"/>
  <c r="R236" i="2" s="1"/>
  <c r="K240" i="2"/>
  <c r="M240" i="2" s="1"/>
  <c r="R240" i="2" s="1"/>
  <c r="K209" i="2"/>
  <c r="M209" i="2" s="1"/>
  <c r="R209" i="2" s="1"/>
  <c r="K213" i="2"/>
  <c r="M213" i="2" s="1"/>
  <c r="R213" i="2" s="1"/>
  <c r="K217" i="2"/>
  <c r="M217" i="2" s="1"/>
  <c r="R217" i="2" s="1"/>
  <c r="K221" i="2"/>
  <c r="M221" i="2" s="1"/>
  <c r="R221" i="2" s="1"/>
  <c r="K262" i="2"/>
  <c r="M262" i="2" s="1"/>
  <c r="R262" i="2" s="1"/>
  <c r="K249" i="2"/>
  <c r="M249" i="2" s="1"/>
  <c r="R249" i="2" s="1"/>
  <c r="K227" i="2"/>
  <c r="M227" i="2" s="1"/>
  <c r="R227" i="2" s="1"/>
  <c r="K208" i="2"/>
  <c r="M208" i="2" s="1"/>
  <c r="R208" i="2" s="1"/>
  <c r="K253" i="2"/>
  <c r="M253" i="2" s="1"/>
  <c r="R253" i="2" s="1"/>
  <c r="K231" i="2"/>
  <c r="M231" i="2" s="1"/>
  <c r="R231" i="2" s="1"/>
  <c r="K212" i="2"/>
  <c r="M212" i="2" s="1"/>
  <c r="R212" i="2" s="1"/>
  <c r="K257" i="2"/>
  <c r="M257" i="2" s="1"/>
  <c r="R257" i="2" s="1"/>
  <c r="K235" i="2"/>
  <c r="M235" i="2" s="1"/>
  <c r="R235" i="2" s="1"/>
  <c r="K216" i="2"/>
  <c r="M216" i="2" s="1"/>
  <c r="R216" i="2" s="1"/>
  <c r="K223" i="2"/>
  <c r="M223" i="2" s="1"/>
  <c r="R223" i="2" s="1"/>
  <c r="K239" i="2"/>
  <c r="M239" i="2" s="1"/>
  <c r="R239" i="2" s="1"/>
  <c r="K220" i="2"/>
  <c r="M220" i="2" s="1"/>
  <c r="R220" i="2" s="1"/>
  <c r="A41" i="2"/>
  <c r="B40" i="2"/>
  <c r="C40" i="2"/>
  <c r="D39" i="2"/>
  <c r="C169" i="1"/>
  <c r="C170" i="1"/>
  <c r="C171" i="1"/>
  <c r="C91" i="1"/>
  <c r="D43" i="5"/>
  <c r="C44" i="1"/>
  <c r="D40" i="2" l="1"/>
  <c r="A42" i="2"/>
  <c r="B41" i="2"/>
  <c r="C41" i="2"/>
  <c r="C174" i="1"/>
  <c r="C176" i="1"/>
  <c r="D217" i="2" l="1"/>
  <c r="D246" i="2"/>
  <c r="D206" i="2"/>
  <c r="D255" i="2"/>
  <c r="F255" i="2" s="1"/>
  <c r="D234" i="2"/>
  <c r="D253" i="2"/>
  <c r="D219" i="2"/>
  <c r="D230" i="2"/>
  <c r="D238" i="2"/>
  <c r="D233" i="2"/>
  <c r="D261" i="2"/>
  <c r="D260" i="2"/>
  <c r="D232" i="2"/>
  <c r="D248" i="2"/>
  <c r="D249" i="2"/>
  <c r="D229" i="2"/>
  <c r="D205" i="2"/>
  <c r="D251" i="2"/>
  <c r="D262" i="2"/>
  <c r="D265" i="2"/>
  <c r="D221" i="2"/>
  <c r="D224" i="2"/>
  <c r="D244" i="2"/>
  <c r="D227" i="2"/>
  <c r="D213" i="2"/>
  <c r="D242" i="2"/>
  <c r="D211" i="2"/>
  <c r="D235" i="2"/>
  <c r="D254" i="2"/>
  <c r="D241" i="2"/>
  <c r="D259" i="2"/>
  <c r="D247" i="2"/>
  <c r="D231" i="2"/>
  <c r="D222" i="2"/>
  <c r="D209" i="2"/>
  <c r="D258" i="2"/>
  <c r="D240" i="2"/>
  <c r="D252" i="2"/>
  <c r="D212" i="2"/>
  <c r="D264" i="2"/>
  <c r="D257" i="2"/>
  <c r="D226" i="2"/>
  <c r="D220" i="2"/>
  <c r="D236" i="2"/>
  <c r="D243" i="2"/>
  <c r="D239" i="2"/>
  <c r="D250" i="2"/>
  <c r="D214" i="2"/>
  <c r="D215" i="2"/>
  <c r="D245" i="2"/>
  <c r="D223" i="2"/>
  <c r="D207" i="2"/>
  <c r="D228" i="2"/>
  <c r="D218" i="2"/>
  <c r="D237" i="2"/>
  <c r="D208" i="2"/>
  <c r="D263" i="2"/>
  <c r="D210" i="2"/>
  <c r="D225" i="2"/>
  <c r="D216" i="2"/>
  <c r="D256" i="2"/>
  <c r="D41" i="2"/>
  <c r="A43" i="2"/>
  <c r="B42" i="2"/>
  <c r="C42" i="2"/>
  <c r="F258" i="2" l="1"/>
  <c r="E258" i="2"/>
  <c r="F265" i="2"/>
  <c r="E265" i="2"/>
  <c r="F259" i="2"/>
  <c r="E259" i="2"/>
  <c r="F262" i="2"/>
  <c r="E262" i="2"/>
  <c r="E261" i="2"/>
  <c r="F261" i="2"/>
  <c r="F264" i="2"/>
  <c r="E264" i="2"/>
  <c r="F260" i="2"/>
  <c r="E260" i="2"/>
  <c r="E256" i="2"/>
  <c r="F256" i="2"/>
  <c r="F263" i="2"/>
  <c r="E263" i="2"/>
  <c r="E257" i="2"/>
  <c r="F257" i="2"/>
  <c r="L237" i="2"/>
  <c r="L234" i="2"/>
  <c r="L221" i="2"/>
  <c r="L227" i="2"/>
  <c r="L216" i="2"/>
  <c r="L232" i="2"/>
  <c r="L248" i="2"/>
  <c r="L210" i="2"/>
  <c r="L265" i="2"/>
  <c r="D42" i="2"/>
  <c r="M205" i="2"/>
  <c r="L235" i="2"/>
  <c r="L230" i="2"/>
  <c r="L246" i="2"/>
  <c r="A44" i="2"/>
  <c r="B43" i="2"/>
  <c r="C43" i="2"/>
  <c r="L243" i="2"/>
  <c r="L224" i="2"/>
  <c r="L228" i="2"/>
  <c r="L242" i="2"/>
  <c r="L263" i="2"/>
  <c r="L217" i="2"/>
  <c r="L212" i="2"/>
  <c r="L229" i="2"/>
  <c r="L259" i="2"/>
  <c r="L250" i="2"/>
  <c r="E241" i="2"/>
  <c r="F241" i="2"/>
  <c r="F239" i="2"/>
  <c r="E239" i="2"/>
  <c r="E218" i="2"/>
  <c r="F218" i="2"/>
  <c r="F245" i="2"/>
  <c r="E245" i="2"/>
  <c r="E230" i="2"/>
  <c r="F230" i="2"/>
  <c r="F247" i="2"/>
  <c r="E247" i="2"/>
  <c r="F227" i="2"/>
  <c r="E227" i="2"/>
  <c r="E211" i="2"/>
  <c r="F211" i="2"/>
  <c r="E223" i="2"/>
  <c r="F223" i="2"/>
  <c r="F250" i="2"/>
  <c r="E250" i="2"/>
  <c r="E236" i="2"/>
  <c r="F236" i="2"/>
  <c r="L261" i="2"/>
  <c r="L255" i="2"/>
  <c r="L260" i="2"/>
  <c r="L241" i="2"/>
  <c r="E246" i="2"/>
  <c r="F246" i="2"/>
  <c r="F216" i="2"/>
  <c r="E216" i="2"/>
  <c r="E237" i="2"/>
  <c r="F237" i="2"/>
  <c r="F229" i="2"/>
  <c r="E229" i="2"/>
  <c r="E233" i="2"/>
  <c r="F233" i="2"/>
  <c r="F208" i="2"/>
  <c r="E208" i="2"/>
  <c r="F249" i="2"/>
  <c r="E249" i="2"/>
  <c r="F205" i="2"/>
  <c r="E205" i="2"/>
  <c r="E206" i="2"/>
  <c r="F206" i="2"/>
  <c r="E243" i="2"/>
  <c r="F243" i="2"/>
  <c r="E224" i="2"/>
  <c r="F224" i="2"/>
  <c r="E235" i="2"/>
  <c r="F235" i="2"/>
  <c r="E214" i="2"/>
  <c r="F214" i="2"/>
  <c r="E212" i="2"/>
  <c r="F212" i="2"/>
  <c r="E253" i="2"/>
  <c r="F253" i="2"/>
  <c r="F234" i="2"/>
  <c r="E234" i="2"/>
  <c r="L208" i="2"/>
  <c r="L240" i="2"/>
  <c r="L249" i="2"/>
  <c r="L207" i="2"/>
  <c r="F215" i="2"/>
  <c r="E215" i="2"/>
  <c r="E226" i="2"/>
  <c r="F226" i="2"/>
  <c r="E252" i="2"/>
  <c r="F252" i="2"/>
  <c r="E222" i="2"/>
  <c r="F222" i="2"/>
  <c r="E213" i="2"/>
  <c r="F213" i="2"/>
  <c r="E242" i="2"/>
  <c r="F242" i="2"/>
  <c r="E244" i="2"/>
  <c r="F244" i="2"/>
  <c r="E217" i="2"/>
  <c r="F217" i="2"/>
  <c r="E255" i="2"/>
  <c r="F231" i="2"/>
  <c r="E231" i="2"/>
  <c r="F209" i="2"/>
  <c r="E209" i="2"/>
  <c r="E219" i="2"/>
  <c r="F219" i="2"/>
  <c r="L223" i="2"/>
  <c r="L205" i="2"/>
  <c r="L262" i="2"/>
  <c r="L247" i="2"/>
  <c r="L218" i="2"/>
  <c r="L206" i="2"/>
  <c r="E238" i="2"/>
  <c r="F238" i="2"/>
  <c r="E210" i="2"/>
  <c r="F210" i="2"/>
  <c r="F254" i="2"/>
  <c r="E254" i="2"/>
  <c r="F220" i="2"/>
  <c r="E220" i="2"/>
  <c r="E248" i="2"/>
  <c r="F248" i="2"/>
  <c r="F251" i="2"/>
  <c r="E251" i="2"/>
  <c r="E207" i="2"/>
  <c r="F207" i="2"/>
  <c r="E221" i="2"/>
  <c r="F221" i="2"/>
  <c r="F240" i="2"/>
  <c r="E240" i="2"/>
  <c r="F232" i="2"/>
  <c r="E232" i="2"/>
  <c r="F228" i="2"/>
  <c r="E228" i="2"/>
  <c r="F225" i="2"/>
  <c r="E225" i="2"/>
  <c r="L251" i="2" l="1"/>
  <c r="L226" i="2"/>
  <c r="L252" i="2"/>
  <c r="O216" i="2"/>
  <c r="L214" i="2"/>
  <c r="N221" i="2"/>
  <c r="L236" i="2"/>
  <c r="L238" i="2"/>
  <c r="L258" i="2"/>
  <c r="N229" i="2"/>
  <c r="N210" i="2"/>
  <c r="L215" i="2"/>
  <c r="L233" i="2"/>
  <c r="D43" i="2"/>
  <c r="N242" i="2"/>
  <c r="L225" i="2"/>
  <c r="O263" i="2"/>
  <c r="A45" i="2"/>
  <c r="B44" i="2"/>
  <c r="C44" i="2"/>
  <c r="L220" i="2"/>
  <c r="L245" i="2"/>
  <c r="N259" i="2"/>
  <c r="N250" i="2"/>
  <c r="O212" i="2"/>
  <c r="L211" i="2"/>
  <c r="L219" i="2"/>
  <c r="L213" i="2"/>
  <c r="L256" i="2"/>
  <c r="N228" i="2"/>
  <c r="N224" i="2"/>
  <c r="L257" i="2"/>
  <c r="L264" i="2"/>
  <c r="O226" i="2"/>
  <c r="N226" i="2"/>
  <c r="N214" i="2"/>
  <c r="O214" i="2"/>
  <c r="N208" i="2"/>
  <c r="O208" i="2"/>
  <c r="L222" i="2"/>
  <c r="N255" i="2"/>
  <c r="O255" i="2"/>
  <c r="N207" i="2"/>
  <c r="O207" i="2"/>
  <c r="N240" i="2"/>
  <c r="O240" i="2"/>
  <c r="L244" i="2"/>
  <c r="N241" i="2"/>
  <c r="O241" i="2"/>
  <c r="O257" i="2"/>
  <c r="N257" i="2"/>
  <c r="N264" i="2"/>
  <c r="O264" i="2"/>
  <c r="O218" i="2"/>
  <c r="N218" i="2"/>
  <c r="N262" i="2"/>
  <c r="O262" i="2"/>
  <c r="O223" i="2"/>
  <c r="N223" i="2"/>
  <c r="O211" i="2"/>
  <c r="N211" i="2"/>
  <c r="N225" i="2"/>
  <c r="O225" i="2"/>
  <c r="L253" i="2"/>
  <c r="L239" i="2"/>
  <c r="N232" i="2"/>
  <c r="O232" i="2"/>
  <c r="N227" i="2"/>
  <c r="O227" i="2"/>
  <c r="O252" i="2"/>
  <c r="N252" i="2"/>
  <c r="N219" i="2"/>
  <c r="O219" i="2"/>
  <c r="N251" i="2"/>
  <c r="O251" i="2"/>
  <c r="N213" i="2"/>
  <c r="O213" i="2"/>
  <c r="N256" i="2"/>
  <c r="O256" i="2"/>
  <c r="O233" i="2"/>
  <c r="N233" i="2"/>
  <c r="N258" i="2"/>
  <c r="O258" i="2"/>
  <c r="O205" i="2"/>
  <c r="N205" i="2"/>
  <c r="R205" i="2"/>
  <c r="O235" i="2"/>
  <c r="N235" i="2"/>
  <c r="O249" i="2"/>
  <c r="N249" i="2"/>
  <c r="L254" i="2"/>
  <c r="M254" i="2"/>
  <c r="R254" i="2" s="1"/>
  <c r="N238" i="2"/>
  <c r="O238" i="2"/>
  <c r="O215" i="2"/>
  <c r="N215" i="2"/>
  <c r="O206" i="2"/>
  <c r="R206" i="2"/>
  <c r="N206" i="2"/>
  <c r="N237" i="2"/>
  <c r="N247" i="2"/>
  <c r="O247" i="2"/>
  <c r="L209" i="2"/>
  <c r="L231" i="2"/>
  <c r="N260" i="2"/>
  <c r="O260" i="2"/>
  <c r="N261" i="2"/>
  <c r="O261" i="2"/>
  <c r="O243" i="2"/>
  <c r="N243" i="2"/>
  <c r="N236" i="2"/>
  <c r="O236" i="2"/>
  <c r="O245" i="2"/>
  <c r="N245" i="2"/>
  <c r="O220" i="2"/>
  <c r="N220" i="2"/>
  <c r="O237" i="2" l="1"/>
  <c r="O221" i="2"/>
  <c r="N234" i="2"/>
  <c r="T221" i="2"/>
  <c r="N216" i="2"/>
  <c r="O234" i="2"/>
  <c r="S216" i="2"/>
  <c r="N246" i="2"/>
  <c r="O246" i="2"/>
  <c r="N263" i="2"/>
  <c r="S229" i="2"/>
  <c r="O265" i="2"/>
  <c r="O248" i="2"/>
  <c r="N248" i="2"/>
  <c r="N212" i="2"/>
  <c r="O230" i="2"/>
  <c r="O229" i="2"/>
  <c r="N265" i="2"/>
  <c r="N230" i="2"/>
  <c r="O210" i="2"/>
  <c r="O242" i="2"/>
  <c r="O224" i="2"/>
  <c r="S242" i="2"/>
  <c r="T210" i="2"/>
  <c r="T212" i="2"/>
  <c r="O250" i="2"/>
  <c r="T250" i="2"/>
  <c r="T263" i="2"/>
  <c r="N217" i="2"/>
  <c r="D44" i="2"/>
  <c r="T224" i="2"/>
  <c r="O259" i="2"/>
  <c r="O217" i="2"/>
  <c r="B45" i="2"/>
  <c r="A46" i="2"/>
  <c r="C45" i="2"/>
  <c r="S259" i="2"/>
  <c r="S228" i="2"/>
  <c r="O228" i="2"/>
  <c r="S243" i="2"/>
  <c r="T243" i="2"/>
  <c r="O209" i="2"/>
  <c r="N209" i="2"/>
  <c r="T215" i="2"/>
  <c r="S215" i="2"/>
  <c r="T265" i="2"/>
  <c r="S265" i="2"/>
  <c r="T256" i="2"/>
  <c r="S256" i="2"/>
  <c r="S251" i="2"/>
  <c r="T251" i="2"/>
  <c r="T219" i="2"/>
  <c r="S219" i="2"/>
  <c r="T242" i="2"/>
  <c r="T227" i="2"/>
  <c r="S227" i="2"/>
  <c r="N239" i="2"/>
  <c r="O239" i="2"/>
  <c r="T211" i="2"/>
  <c r="S211" i="2"/>
  <c r="T257" i="2"/>
  <c r="S257" i="2"/>
  <c r="T241" i="2"/>
  <c r="S241" i="2"/>
  <c r="S240" i="2"/>
  <c r="T240" i="2"/>
  <c r="S255" i="2"/>
  <c r="T255" i="2"/>
  <c r="S214" i="2"/>
  <c r="T214" i="2"/>
  <c r="S245" i="2"/>
  <c r="T245" i="2"/>
  <c r="T229" i="2"/>
  <c r="T249" i="2"/>
  <c r="S249" i="2"/>
  <c r="T246" i="2"/>
  <c r="S246" i="2"/>
  <c r="T233" i="2"/>
  <c r="S233" i="2"/>
  <c r="T252" i="2"/>
  <c r="S252" i="2"/>
  <c r="T223" i="2"/>
  <c r="S223" i="2"/>
  <c r="T262" i="2"/>
  <c r="S262" i="2"/>
  <c r="T208" i="2"/>
  <c r="S208" i="2"/>
  <c r="T226" i="2"/>
  <c r="S226" i="2"/>
  <c r="T236" i="2"/>
  <c r="S236" i="2"/>
  <c r="O231" i="2"/>
  <c r="N231" i="2"/>
  <c r="T206" i="2"/>
  <c r="S206" i="2"/>
  <c r="O254" i="2"/>
  <c r="N254" i="2"/>
  <c r="S205" i="2"/>
  <c r="T205" i="2"/>
  <c r="T213" i="2"/>
  <c r="S213" i="2"/>
  <c r="S232" i="2"/>
  <c r="T232" i="2"/>
  <c r="T217" i="2"/>
  <c r="S217" i="2"/>
  <c r="T264" i="2"/>
  <c r="S264" i="2"/>
  <c r="N244" i="2"/>
  <c r="O244" i="2"/>
  <c r="T248" i="2"/>
  <c r="S248" i="2"/>
  <c r="T230" i="2"/>
  <c r="S230" i="2"/>
  <c r="T220" i="2"/>
  <c r="S220" i="2"/>
  <c r="S261" i="2"/>
  <c r="T261" i="2"/>
  <c r="T260" i="2"/>
  <c r="S260" i="2"/>
  <c r="T247" i="2"/>
  <c r="S247" i="2"/>
  <c r="T237" i="2"/>
  <c r="S237" i="2"/>
  <c r="S238" i="2"/>
  <c r="T238" i="2"/>
  <c r="S235" i="2"/>
  <c r="T235" i="2"/>
  <c r="T258" i="2"/>
  <c r="S258" i="2"/>
  <c r="O253" i="2"/>
  <c r="N253" i="2"/>
  <c r="T225" i="2"/>
  <c r="S225" i="2"/>
  <c r="S218" i="2"/>
  <c r="T218" i="2"/>
  <c r="T234" i="2"/>
  <c r="S234" i="2"/>
  <c r="T207" i="2"/>
  <c r="S207" i="2"/>
  <c r="O222" i="2"/>
  <c r="N222" i="2"/>
  <c r="S221" i="2" l="1"/>
  <c r="S224" i="2"/>
  <c r="T216" i="2"/>
  <c r="S263" i="2"/>
  <c r="S210" i="2"/>
  <c r="S212" i="2"/>
  <c r="S250" i="2"/>
  <c r="T228" i="2"/>
  <c r="T259" i="2"/>
  <c r="A47" i="2"/>
  <c r="B46" i="2"/>
  <c r="C46" i="2"/>
  <c r="D45" i="2"/>
  <c r="T222" i="2"/>
  <c r="S222" i="2"/>
  <c r="T239" i="2"/>
  <c r="S239" i="2"/>
  <c r="T209" i="2"/>
  <c r="S209" i="2"/>
  <c r="S254" i="2"/>
  <c r="T254" i="2"/>
  <c r="T231" i="2"/>
  <c r="S231" i="2"/>
  <c r="S253" i="2"/>
  <c r="T253" i="2"/>
  <c r="S244" i="2"/>
  <c r="T244" i="2"/>
  <c r="D46" i="2" l="1"/>
  <c r="A48" i="2"/>
  <c r="B47" i="2"/>
  <c r="C47" i="2"/>
  <c r="D47" i="2" l="1"/>
  <c r="A49" i="2"/>
  <c r="B48" i="2"/>
  <c r="C48" i="2"/>
  <c r="D48" i="2" l="1"/>
  <c r="A50" i="2"/>
  <c r="B49" i="2"/>
  <c r="C49" i="2"/>
  <c r="D49" i="2" l="1"/>
  <c r="A51" i="2"/>
  <c r="B50" i="2"/>
  <c r="C50" i="2"/>
  <c r="D50" i="2" l="1"/>
  <c r="A52" i="2"/>
  <c r="B51" i="2"/>
  <c r="C51" i="2"/>
  <c r="D51" i="2" l="1"/>
  <c r="A53" i="2"/>
  <c r="B52" i="2"/>
  <c r="C52" i="2"/>
  <c r="D52" i="2" l="1"/>
  <c r="A54" i="2"/>
  <c r="B53" i="2"/>
  <c r="C53" i="2"/>
  <c r="D53" i="2" l="1"/>
  <c r="A55" i="2"/>
  <c r="B54" i="2"/>
  <c r="C54" i="2"/>
  <c r="D54" i="2" l="1"/>
  <c r="A56" i="2"/>
  <c r="B55" i="2"/>
  <c r="C55" i="2"/>
  <c r="D55" i="2" l="1"/>
  <c r="A57" i="2"/>
  <c r="B56" i="2"/>
  <c r="C56" i="2"/>
  <c r="D56" i="2" l="1"/>
  <c r="A58" i="2"/>
  <c r="B57" i="2"/>
  <c r="C57" i="2"/>
  <c r="D57" i="2" l="1"/>
  <c r="A59" i="2"/>
  <c r="B58" i="2"/>
  <c r="C58" i="2"/>
  <c r="D58" i="2" l="1"/>
  <c r="A60" i="2"/>
  <c r="B59" i="2"/>
  <c r="C59" i="2"/>
  <c r="D59" i="2" l="1"/>
  <c r="B60" i="2"/>
  <c r="A61" i="2"/>
  <c r="C60" i="2"/>
  <c r="A62" i="2" l="1"/>
  <c r="B61" i="2"/>
  <c r="C61" i="2"/>
  <c r="D60" i="2"/>
  <c r="A63" i="2" l="1"/>
  <c r="B62" i="2"/>
  <c r="C62" i="2"/>
  <c r="D61" i="2"/>
  <c r="A64" i="2" l="1"/>
  <c r="B63" i="2"/>
  <c r="C63" i="2"/>
  <c r="D62" i="2"/>
  <c r="A65" i="2" l="1"/>
  <c r="B64" i="2"/>
  <c r="C64" i="2"/>
  <c r="D63" i="2"/>
  <c r="A66" i="2" l="1"/>
  <c r="B65" i="2"/>
  <c r="C65" i="2"/>
  <c r="D64" i="2"/>
  <c r="A67" i="2" l="1"/>
  <c r="B66" i="2"/>
  <c r="C66" i="2"/>
  <c r="D65" i="2"/>
  <c r="A68" i="2" l="1"/>
  <c r="B67" i="2"/>
  <c r="C67" i="2"/>
  <c r="D66" i="2"/>
  <c r="B68" i="2" l="1"/>
  <c r="A69" i="2"/>
  <c r="C68" i="2"/>
  <c r="D67" i="2"/>
  <c r="D68" i="2" l="1"/>
  <c r="B69" i="2"/>
  <c r="C69" i="2"/>
  <c r="A70" i="2"/>
  <c r="D69" i="2" l="1"/>
  <c r="B70" i="2"/>
  <c r="A71" i="2"/>
  <c r="C70" i="2"/>
  <c r="D70" i="2" l="1"/>
  <c r="C71" i="2"/>
  <c r="A72" i="2"/>
  <c r="B71" i="2"/>
  <c r="D71" i="2" l="1"/>
  <c r="A73" i="2"/>
  <c r="B72" i="2"/>
  <c r="C72" i="2"/>
  <c r="D72" i="2" l="1"/>
  <c r="B73" i="2"/>
  <c r="C73" i="2"/>
  <c r="A74" i="2"/>
  <c r="A75" i="2" l="1"/>
  <c r="B74" i="2"/>
  <c r="C74" i="2"/>
  <c r="D73" i="2"/>
  <c r="B75" i="2" l="1"/>
  <c r="A76" i="2"/>
  <c r="C75" i="2"/>
  <c r="D74" i="2"/>
  <c r="D75" i="2" l="1"/>
  <c r="B76" i="2"/>
  <c r="A77" i="2"/>
  <c r="C76" i="2"/>
  <c r="D76" i="2" l="1"/>
  <c r="A78" i="2"/>
  <c r="B77" i="2"/>
  <c r="C77" i="2"/>
  <c r="A79" i="2" l="1"/>
  <c r="C78" i="2"/>
  <c r="B78" i="2"/>
  <c r="D78" i="2" s="1"/>
  <c r="D77" i="2"/>
  <c r="A80" i="2" l="1"/>
  <c r="C79" i="2"/>
  <c r="B79" i="2"/>
  <c r="D79" i="2" s="1"/>
  <c r="A81" i="2" l="1"/>
  <c r="C80" i="2"/>
  <c r="B80" i="2"/>
  <c r="D80" i="2" s="1"/>
  <c r="A82" i="2" l="1"/>
  <c r="B81" i="2"/>
  <c r="C81" i="2"/>
  <c r="B82" i="2" l="1"/>
  <c r="C82" i="2"/>
  <c r="A83" i="2"/>
  <c r="D81" i="2"/>
  <c r="D82" i="2" l="1"/>
  <c r="C83" i="2"/>
  <c r="B83" i="2"/>
  <c r="A84" i="2"/>
  <c r="A85" i="2" l="1"/>
  <c r="C84" i="2"/>
  <c r="B84" i="2"/>
  <c r="D84" i="2" s="1"/>
  <c r="D83" i="2"/>
  <c r="B85" i="2" l="1"/>
  <c r="A86" i="2"/>
  <c r="C85" i="2"/>
  <c r="D85" i="2" l="1"/>
  <c r="A87" i="2"/>
  <c r="C86" i="2"/>
  <c r="B86" i="2"/>
  <c r="D86" i="2" l="1"/>
  <c r="A88" i="2"/>
  <c r="B87" i="2"/>
  <c r="C87" i="2"/>
  <c r="B88" i="2" l="1"/>
  <c r="C88" i="2"/>
  <c r="A89" i="2"/>
  <c r="D87" i="2"/>
  <c r="D88" i="2" l="1"/>
  <c r="C89" i="2"/>
  <c r="A90" i="2"/>
  <c r="B89" i="2"/>
  <c r="D89" i="2" l="1"/>
  <c r="C90" i="2"/>
  <c r="A91" i="2"/>
  <c r="B90" i="2"/>
  <c r="D90" i="2" l="1"/>
  <c r="B91" i="2"/>
  <c r="C91" i="2"/>
  <c r="A92" i="2"/>
  <c r="D91" i="2" l="1"/>
  <c r="A93" i="2"/>
  <c r="B92" i="2"/>
  <c r="C92" i="2"/>
  <c r="C93" i="2" l="1"/>
  <c r="A94" i="2"/>
  <c r="B93" i="2"/>
  <c r="D92" i="2"/>
  <c r="D93" i="2" l="1"/>
  <c r="A95" i="2"/>
  <c r="B94" i="2"/>
  <c r="C94" i="2"/>
  <c r="D94" i="2" l="1"/>
  <c r="A96" i="2"/>
  <c r="B95" i="2"/>
  <c r="C95" i="2"/>
  <c r="D95" i="2" l="1"/>
  <c r="B96" i="2"/>
  <c r="C96" i="2"/>
  <c r="A97" i="2"/>
  <c r="B97" i="2" l="1"/>
  <c r="A98" i="2"/>
  <c r="C97" i="2"/>
  <c r="D96" i="2"/>
  <c r="D97" i="2" l="1"/>
  <c r="B98" i="2"/>
  <c r="A99" i="2"/>
  <c r="C98" i="2"/>
  <c r="D98" i="2" l="1"/>
  <c r="C99" i="2"/>
  <c r="A100" i="2"/>
  <c r="B99" i="2"/>
  <c r="D99" i="2" l="1"/>
  <c r="A101" i="2"/>
  <c r="B100" i="2"/>
  <c r="C100" i="2"/>
  <c r="D100" i="2" l="1"/>
  <c r="B101" i="2"/>
  <c r="C101" i="2"/>
  <c r="A102" i="2"/>
  <c r="C102" i="2" l="1"/>
  <c r="A103" i="2"/>
  <c r="B102" i="2"/>
  <c r="D101" i="2"/>
  <c r="D102" i="2" l="1"/>
  <c r="A104" i="2"/>
  <c r="C103" i="2"/>
  <c r="B103" i="2"/>
  <c r="D103" i="2" l="1"/>
  <c r="B104" i="2"/>
  <c r="C104" i="2"/>
  <c r="A105" i="2"/>
  <c r="D104" i="2" l="1"/>
  <c r="B105" i="2"/>
  <c r="C105" i="2"/>
  <c r="A106" i="2"/>
  <c r="D105" i="2" l="1"/>
  <c r="C106" i="2"/>
  <c r="B106" i="2"/>
  <c r="A107" i="2"/>
  <c r="B107" i="2" l="1"/>
  <c r="C107" i="2"/>
  <c r="A108" i="2"/>
  <c r="D106" i="2"/>
  <c r="D107" i="2" l="1"/>
  <c r="A109" i="2"/>
  <c r="B108" i="2"/>
  <c r="C108" i="2"/>
  <c r="A110" i="2" l="1"/>
  <c r="B109" i="2"/>
  <c r="C109" i="2"/>
  <c r="D108" i="2"/>
  <c r="A111" i="2" l="1"/>
  <c r="C110" i="2"/>
  <c r="B110" i="2"/>
  <c r="D110" i="2" s="1"/>
  <c r="D109" i="2"/>
  <c r="B111" i="2" l="1"/>
  <c r="C111" i="2"/>
  <c r="A112" i="2"/>
  <c r="D111" i="2" l="1"/>
  <c r="C112" i="2"/>
  <c r="A113" i="2"/>
  <c r="B112" i="2"/>
  <c r="D112" i="2" l="1"/>
  <c r="B113" i="2"/>
  <c r="A114" i="2"/>
  <c r="C113" i="2"/>
  <c r="A115" i="2" l="1"/>
  <c r="C114" i="2"/>
  <c r="B114" i="2"/>
  <c r="D114" i="2" s="1"/>
  <c r="D113" i="2"/>
  <c r="B115" i="2" l="1"/>
  <c r="A116" i="2"/>
  <c r="C115" i="2"/>
  <c r="D115" i="2" l="1"/>
  <c r="B116" i="2"/>
  <c r="C116" i="2"/>
  <c r="A117" i="2"/>
  <c r="D116" i="2" l="1"/>
  <c r="A118" i="2"/>
  <c r="B117" i="2"/>
  <c r="C117" i="2"/>
  <c r="B118" i="2" l="1"/>
  <c r="A119" i="2"/>
  <c r="C118" i="2"/>
  <c r="D117" i="2"/>
  <c r="D118" i="2" l="1"/>
  <c r="B119" i="2"/>
  <c r="C119" i="2"/>
  <c r="A120" i="2"/>
  <c r="D119" i="2" l="1"/>
  <c r="C120" i="2"/>
  <c r="A121" i="2"/>
  <c r="B120" i="2"/>
  <c r="D120" i="2" l="1"/>
  <c r="A122" i="2"/>
  <c r="B121" i="2"/>
  <c r="C121" i="2"/>
  <c r="D121" i="2" l="1"/>
  <c r="B122" i="2"/>
  <c r="C122" i="2"/>
  <c r="A123" i="2"/>
  <c r="C123" i="2" l="1"/>
  <c r="A124" i="2"/>
  <c r="B123" i="2"/>
  <c r="D122" i="2"/>
  <c r="D123" i="2" l="1"/>
  <c r="A125" i="2"/>
  <c r="B124" i="2"/>
  <c r="C124" i="2"/>
  <c r="D124" i="2" l="1"/>
  <c r="B125" i="2"/>
  <c r="C125" i="2"/>
  <c r="A126" i="2"/>
  <c r="B126" i="2" l="1"/>
  <c r="C126" i="2"/>
  <c r="A127" i="2"/>
  <c r="D125" i="2"/>
  <c r="D126" i="2" l="1"/>
  <c r="A128" i="2"/>
  <c r="C127" i="2"/>
  <c r="B127" i="2"/>
  <c r="D127" i="2" l="1"/>
  <c r="A129" i="2"/>
  <c r="B128" i="2"/>
  <c r="C128" i="2"/>
  <c r="C129" i="2" l="1"/>
  <c r="B129" i="2"/>
  <c r="A130" i="2"/>
  <c r="D128" i="2"/>
  <c r="B130" i="2" l="1"/>
  <c r="A131" i="2"/>
  <c r="C130" i="2"/>
  <c r="D129" i="2"/>
  <c r="D130" i="2" l="1"/>
  <c r="A132" i="2"/>
  <c r="C131" i="2"/>
  <c r="B131" i="2"/>
  <c r="D131" i="2" l="1"/>
  <c r="B132" i="2"/>
  <c r="A133" i="2"/>
  <c r="C132" i="2"/>
  <c r="D132" i="2" l="1"/>
  <c r="B133" i="2"/>
  <c r="C133" i="2"/>
  <c r="A134" i="2"/>
  <c r="D133" i="2" l="1"/>
  <c r="A135" i="2"/>
  <c r="B134" i="2"/>
  <c r="C134" i="2"/>
  <c r="B135" i="2" l="1"/>
  <c r="A136" i="2"/>
  <c r="C135" i="2"/>
  <c r="D134" i="2"/>
  <c r="D135" i="2" l="1"/>
  <c r="C136" i="2"/>
  <c r="A137" i="2"/>
  <c r="B136" i="2"/>
  <c r="D136" i="2" l="1"/>
  <c r="A138" i="2"/>
  <c r="C137" i="2"/>
  <c r="B137" i="2"/>
  <c r="D137" i="2" l="1"/>
  <c r="A139" i="2"/>
  <c r="B138" i="2"/>
  <c r="C138" i="2"/>
  <c r="C139" i="2" l="1"/>
  <c r="B139" i="2"/>
  <c r="A140" i="2"/>
  <c r="D138" i="2"/>
  <c r="B140" i="2" l="1"/>
  <c r="A141" i="2"/>
  <c r="C140" i="2"/>
  <c r="D139" i="2"/>
  <c r="D140" i="2" l="1"/>
  <c r="C141" i="2"/>
  <c r="A142" i="2"/>
  <c r="B141" i="2"/>
  <c r="D141" i="2" l="1"/>
  <c r="A143" i="2"/>
  <c r="B142" i="2"/>
  <c r="C142" i="2"/>
  <c r="D142" i="2" l="1"/>
  <c r="C143" i="2"/>
  <c r="A144" i="2"/>
  <c r="B143" i="2"/>
  <c r="D143" i="2" l="1"/>
  <c r="B144" i="2"/>
  <c r="C144" i="2"/>
  <c r="A145" i="2"/>
  <c r="D144" i="2" l="1"/>
  <c r="A146" i="2"/>
  <c r="B145" i="2"/>
  <c r="C145" i="2"/>
  <c r="D145" i="2" l="1"/>
  <c r="B146" i="2"/>
  <c r="C146" i="2"/>
  <c r="A147" i="2"/>
  <c r="D146" i="2" l="1"/>
  <c r="A148" i="2"/>
  <c r="C147" i="2"/>
  <c r="B147" i="2"/>
  <c r="C148" i="2" l="1"/>
  <c r="B148" i="2"/>
  <c r="A149" i="2"/>
  <c r="D147" i="2"/>
  <c r="D148" i="2" l="1"/>
  <c r="C149" i="2"/>
  <c r="A150" i="2"/>
  <c r="B149" i="2"/>
  <c r="D149" i="2" s="1"/>
  <c r="A151" i="2" l="1"/>
  <c r="C150" i="2"/>
  <c r="B150" i="2"/>
  <c r="D150" i="2" s="1"/>
  <c r="C151" i="2" l="1"/>
  <c r="B151" i="2"/>
  <c r="A152" i="2"/>
  <c r="D151" i="2" l="1"/>
  <c r="B152" i="2"/>
  <c r="C152" i="2"/>
  <c r="A153" i="2"/>
  <c r="B153" i="2" l="1"/>
  <c r="C153" i="2"/>
  <c r="A154" i="2"/>
  <c r="D152" i="2"/>
  <c r="A155" i="2" l="1"/>
  <c r="C154" i="2"/>
  <c r="B154" i="2"/>
  <c r="D154" i="2" s="1"/>
  <c r="D153" i="2"/>
  <c r="A156" i="2" l="1"/>
  <c r="C155" i="2"/>
  <c r="B155" i="2"/>
  <c r="D155" i="2" l="1"/>
  <c r="B156" i="2"/>
  <c r="C156" i="2"/>
  <c r="A157" i="2"/>
  <c r="D156" i="2" l="1"/>
  <c r="A158" i="2"/>
  <c r="B157" i="2"/>
  <c r="C157" i="2"/>
  <c r="C158" i="2" l="1"/>
  <c r="A159" i="2"/>
  <c r="B158" i="2"/>
  <c r="D157" i="2"/>
  <c r="D158" i="2" l="1"/>
  <c r="B159" i="2"/>
  <c r="C159" i="2"/>
  <c r="A160" i="2"/>
  <c r="B160" i="2" l="1"/>
  <c r="C160" i="2"/>
  <c r="A161" i="2"/>
  <c r="D159" i="2"/>
  <c r="D160" i="2" l="1"/>
  <c r="A162" i="2"/>
  <c r="C161" i="2"/>
  <c r="B161" i="2"/>
  <c r="D161" i="2" l="1"/>
  <c r="B162" i="2"/>
  <c r="A163" i="2"/>
  <c r="C162" i="2"/>
  <c r="D162" i="2" l="1"/>
  <c r="C163" i="2"/>
  <c r="B163" i="2"/>
  <c r="A164" i="2"/>
  <c r="B164" i="2" l="1"/>
  <c r="A165" i="2"/>
  <c r="C164" i="2"/>
  <c r="D163" i="2"/>
  <c r="D164" i="2" l="1"/>
  <c r="C165" i="2"/>
  <c r="A166" i="2"/>
  <c r="B165" i="2"/>
  <c r="D165" i="2" l="1"/>
  <c r="B166" i="2"/>
  <c r="C166" i="2"/>
  <c r="A167" i="2"/>
  <c r="A168" i="2" l="1"/>
  <c r="C167" i="2"/>
  <c r="B167" i="2"/>
  <c r="D167" i="2" s="1"/>
  <c r="D166" i="2"/>
  <c r="B168" i="2" l="1"/>
  <c r="C168" i="2"/>
  <c r="A169" i="2"/>
  <c r="D168" i="2" l="1"/>
  <c r="A170" i="2"/>
  <c r="C169" i="2"/>
  <c r="B169" i="2"/>
  <c r="D169" i="2" l="1"/>
  <c r="B170" i="2"/>
  <c r="A171" i="2"/>
  <c r="C170" i="2"/>
  <c r="D170" i="2" l="1"/>
  <c r="A172" i="2"/>
  <c r="C171" i="2"/>
  <c r="B171" i="2"/>
  <c r="D171" i="2" s="1"/>
  <c r="B172" i="2" l="1"/>
  <c r="A173" i="2"/>
  <c r="C172" i="2"/>
  <c r="D172" i="2" l="1"/>
  <c r="B173" i="2"/>
  <c r="A174" i="2"/>
  <c r="C173" i="2"/>
  <c r="D173" i="2" l="1"/>
  <c r="B174" i="2"/>
  <c r="C174" i="2"/>
</calcChain>
</file>

<file path=xl/sharedStrings.xml><?xml version="1.0" encoding="utf-8"?>
<sst xmlns="http://schemas.openxmlformats.org/spreadsheetml/2006/main" count="699" uniqueCount="495">
  <si>
    <t>Minimum Input Voltage from AC Line:</t>
  </si>
  <si>
    <t>Maximum Input Voltage from AC Line:</t>
  </si>
  <si>
    <t>Maximum Rectified AC Line Voltage:</t>
  </si>
  <si>
    <t>Minimum Rectified AC Line Voltage:</t>
  </si>
  <si>
    <t>Minimum Line Frequency:</t>
  </si>
  <si>
    <t>Hz</t>
  </si>
  <si>
    <t>Maximum Line Frequency:</t>
  </si>
  <si>
    <t>HZ</t>
  </si>
  <si>
    <r>
      <t>f</t>
    </r>
    <r>
      <rPr>
        <vertAlign val="subscript"/>
        <sz val="10"/>
        <rFont val="Arial"/>
        <family val="2"/>
      </rPr>
      <t>LINE(min):</t>
    </r>
  </si>
  <si>
    <r>
      <t>f</t>
    </r>
    <r>
      <rPr>
        <vertAlign val="subscript"/>
        <sz val="10"/>
        <rFont val="Arial"/>
        <family val="2"/>
      </rPr>
      <t>LINE(max):</t>
    </r>
  </si>
  <si>
    <r>
      <t>f</t>
    </r>
    <r>
      <rPr>
        <vertAlign val="subscript"/>
        <sz val="10"/>
        <rFont val="Arial"/>
        <family val="2"/>
      </rPr>
      <t>LINE(nom)</t>
    </r>
  </si>
  <si>
    <t>h</t>
  </si>
  <si>
    <t>Predicted Efficiency:</t>
  </si>
  <si>
    <t>V</t>
  </si>
  <si>
    <t>W</t>
  </si>
  <si>
    <r>
      <t>P</t>
    </r>
    <r>
      <rPr>
        <vertAlign val="subscript"/>
        <sz val="10"/>
        <rFont val="Arial"/>
        <family val="2"/>
      </rPr>
      <t>OUT(max)</t>
    </r>
  </si>
  <si>
    <t>PF</t>
  </si>
  <si>
    <t>Maximum Input Power Drawn from the Line:</t>
  </si>
  <si>
    <r>
      <t>P</t>
    </r>
    <r>
      <rPr>
        <vertAlign val="subscript"/>
        <sz val="10"/>
        <rFont val="Arial"/>
        <family val="2"/>
      </rPr>
      <t>IN(max)</t>
    </r>
  </si>
  <si>
    <t>Maximum RMS AC Line Current:</t>
  </si>
  <si>
    <t>A</t>
  </si>
  <si>
    <t>Maximum Peak AC Line Current, assuming sinusoidal:</t>
  </si>
  <si>
    <t>Maximum Average AC Line Current, assuming sinusoidal:</t>
  </si>
  <si>
    <t>OUTPUT:</t>
  </si>
  <si>
    <t>INPUT:</t>
  </si>
  <si>
    <t>Nominal Input Voltage from AC Line  (i.e.115 VRMS):</t>
  </si>
  <si>
    <t>Nominal Line Frequency (i.e. 50 Hz):</t>
  </si>
  <si>
    <t>shaded</t>
  </si>
  <si>
    <t xml:space="preserve">cells; </t>
  </si>
  <si>
    <t>INPUT CAPACITOR:</t>
  </si>
  <si>
    <t>Maximum Inductor Voltage Ripple:</t>
  </si>
  <si>
    <t>Maximum Input Capacitor Value:</t>
  </si>
  <si>
    <r>
      <t>m</t>
    </r>
    <r>
      <rPr>
        <sz val="10"/>
        <rFont val="Arial"/>
        <family val="2"/>
      </rPr>
      <t>F</t>
    </r>
  </si>
  <si>
    <t>BOOST INDUCTOR DESIGN:</t>
  </si>
  <si>
    <t>Maximum Duty Cycle:</t>
  </si>
  <si>
    <t>Maximum Inductor Peak Current:</t>
  </si>
  <si>
    <r>
      <t>I</t>
    </r>
    <r>
      <rPr>
        <vertAlign val="subscript"/>
        <sz val="10"/>
        <rFont val="Arial"/>
        <family val="2"/>
      </rPr>
      <t>BRIDGE(RATED)</t>
    </r>
  </si>
  <si>
    <t>Bridge Rectifier Power Dissipation:</t>
  </si>
  <si>
    <r>
      <t>P</t>
    </r>
    <r>
      <rPr>
        <vertAlign val="subscript"/>
        <sz val="10"/>
        <rFont val="Arial"/>
        <family val="2"/>
      </rPr>
      <t>BRIDGE</t>
    </r>
  </si>
  <si>
    <t>Maximum Output Power of PFC Stage:</t>
  </si>
  <si>
    <t>mH</t>
  </si>
  <si>
    <t>Actual Boost Inductor Value Used:</t>
  </si>
  <si>
    <r>
      <t>L</t>
    </r>
    <r>
      <rPr>
        <vertAlign val="subscript"/>
        <sz val="10"/>
        <rFont val="Arial"/>
        <family val="2"/>
      </rPr>
      <t>BST(actual)</t>
    </r>
  </si>
  <si>
    <r>
      <t>V</t>
    </r>
    <r>
      <rPr>
        <vertAlign val="subscript"/>
        <sz val="10"/>
        <rFont val="Arial"/>
        <family val="2"/>
      </rPr>
      <t>IN_RIPPLE</t>
    </r>
  </si>
  <si>
    <r>
      <t>°</t>
    </r>
    <r>
      <rPr>
        <sz val="10"/>
        <rFont val="Arial"/>
        <family val="2"/>
      </rPr>
      <t>C/W</t>
    </r>
  </si>
  <si>
    <r>
      <t>T</t>
    </r>
    <r>
      <rPr>
        <vertAlign val="subscript"/>
        <sz val="10"/>
        <rFont val="Arial"/>
        <family val="2"/>
      </rPr>
      <t>J(max)</t>
    </r>
  </si>
  <si>
    <r>
      <t>°</t>
    </r>
    <r>
      <rPr>
        <sz val="10"/>
        <rFont val="Arial"/>
        <family val="2"/>
      </rPr>
      <t>C</t>
    </r>
  </si>
  <si>
    <t>Maximum Ambient Temperature:</t>
  </si>
  <si>
    <t>Bridge Rectifier Thermal Resistance, Junction to Case:</t>
  </si>
  <si>
    <t>Bridge Rectifier Maximum Junction Temperature:</t>
  </si>
  <si>
    <r>
      <t>T</t>
    </r>
    <r>
      <rPr>
        <vertAlign val="subscript"/>
        <sz val="10"/>
        <rFont val="Arial"/>
        <family val="2"/>
      </rPr>
      <t>AMB(max)</t>
    </r>
  </si>
  <si>
    <t>Maximum Output Current of PFC Stage:</t>
  </si>
  <si>
    <r>
      <t>I</t>
    </r>
    <r>
      <rPr>
        <vertAlign val="subscript"/>
        <sz val="10"/>
        <rFont val="Arial"/>
        <family val="2"/>
      </rPr>
      <t>RIPPLE</t>
    </r>
  </si>
  <si>
    <r>
      <t>V</t>
    </r>
    <r>
      <rPr>
        <vertAlign val="subscript"/>
        <sz val="10"/>
        <rFont val="Arial"/>
        <family val="2"/>
      </rPr>
      <t>IN_RECTIFIED(min)</t>
    </r>
  </si>
  <si>
    <r>
      <t>V</t>
    </r>
    <r>
      <rPr>
        <vertAlign val="subscript"/>
        <sz val="10"/>
        <rFont val="Arial"/>
        <family val="2"/>
      </rPr>
      <t>IN_RECTIFIED(max)</t>
    </r>
  </si>
  <si>
    <r>
      <t>I</t>
    </r>
    <r>
      <rPr>
        <vertAlign val="subscript"/>
        <sz val="10"/>
        <rFont val="Arial"/>
        <family val="2"/>
      </rPr>
      <t>IN_RMS(max)</t>
    </r>
  </si>
  <si>
    <r>
      <t>I</t>
    </r>
    <r>
      <rPr>
        <vertAlign val="subscript"/>
        <sz val="10"/>
        <rFont val="Arial"/>
        <family val="2"/>
      </rPr>
      <t>IN_PEAK(max)</t>
    </r>
  </si>
  <si>
    <r>
      <t>I</t>
    </r>
    <r>
      <rPr>
        <vertAlign val="subscript"/>
        <sz val="10"/>
        <rFont val="Arial"/>
        <family val="2"/>
      </rPr>
      <t>IN_AVG(max)</t>
    </r>
  </si>
  <si>
    <r>
      <t>I</t>
    </r>
    <r>
      <rPr>
        <vertAlign val="subscript"/>
        <sz val="10"/>
        <rFont val="Arial"/>
        <family val="2"/>
      </rPr>
      <t>FUSE</t>
    </r>
  </si>
  <si>
    <r>
      <t>V</t>
    </r>
    <r>
      <rPr>
        <vertAlign val="subscript"/>
        <sz val="10"/>
        <rFont val="Arial"/>
        <family val="2"/>
      </rPr>
      <t>F_BRIDGE</t>
    </r>
  </si>
  <si>
    <r>
      <t>R</t>
    </r>
    <r>
      <rPr>
        <vertAlign val="subscript"/>
        <sz val="10"/>
        <rFont val="Symbol"/>
        <family val="1"/>
        <charset val="2"/>
      </rPr>
      <t>q</t>
    </r>
    <r>
      <rPr>
        <vertAlign val="subscript"/>
        <sz val="10"/>
        <rFont val="Arial"/>
        <family val="2"/>
      </rPr>
      <t>JC(Bridge)</t>
    </r>
  </si>
  <si>
    <t>Required Heat Sink Thermal Impedance:</t>
  </si>
  <si>
    <r>
      <t>R</t>
    </r>
    <r>
      <rPr>
        <vertAlign val="subscript"/>
        <sz val="10"/>
        <rFont val="Symbol"/>
        <family val="1"/>
        <charset val="2"/>
      </rPr>
      <t>q</t>
    </r>
    <r>
      <rPr>
        <vertAlign val="subscript"/>
        <sz val="10"/>
        <rFont val="Arial"/>
        <family val="2"/>
      </rPr>
      <t>HS_AMB(Bridge)</t>
    </r>
  </si>
  <si>
    <r>
      <t>I</t>
    </r>
    <r>
      <rPr>
        <vertAlign val="subscript"/>
        <sz val="10"/>
        <rFont val="Arial"/>
        <family val="2"/>
      </rPr>
      <t>L_PEAK(max)</t>
    </r>
  </si>
  <si>
    <r>
      <t>DUTY</t>
    </r>
    <r>
      <rPr>
        <vertAlign val="subscript"/>
        <sz val="10"/>
        <rFont val="Arial"/>
        <family val="2"/>
      </rPr>
      <t>(max)</t>
    </r>
  </si>
  <si>
    <t>VCC</t>
  </si>
  <si>
    <r>
      <t>V</t>
    </r>
    <r>
      <rPr>
        <vertAlign val="subscript"/>
        <sz val="10"/>
        <rFont val="Arial"/>
        <family val="2"/>
      </rPr>
      <t>GS</t>
    </r>
  </si>
  <si>
    <r>
      <t>Q</t>
    </r>
    <r>
      <rPr>
        <vertAlign val="subscript"/>
        <sz val="10"/>
        <rFont val="Arial"/>
        <family val="2"/>
      </rPr>
      <t>g</t>
    </r>
  </si>
  <si>
    <t>nC</t>
  </si>
  <si>
    <r>
      <t>P</t>
    </r>
    <r>
      <rPr>
        <vertAlign val="subscript"/>
        <sz val="10"/>
        <rFont val="Arial"/>
        <family val="2"/>
      </rPr>
      <t>GATE</t>
    </r>
  </si>
  <si>
    <t>Gate-Source Voltage:</t>
  </si>
  <si>
    <r>
      <t>FET Gate Charge at V</t>
    </r>
    <r>
      <rPr>
        <vertAlign val="subscript"/>
        <sz val="10"/>
        <rFont val="Arial"/>
        <family val="2"/>
      </rPr>
      <t>GS:</t>
    </r>
  </si>
  <si>
    <r>
      <t>R</t>
    </r>
    <r>
      <rPr>
        <vertAlign val="subscript"/>
        <sz val="10"/>
        <rFont val="Arial"/>
        <family val="2"/>
      </rPr>
      <t>DSon</t>
    </r>
  </si>
  <si>
    <t>Drain-Source RMS Current:</t>
  </si>
  <si>
    <r>
      <t>I</t>
    </r>
    <r>
      <rPr>
        <vertAlign val="subscript"/>
        <sz val="10"/>
        <rFont val="Arial"/>
        <family val="2"/>
      </rPr>
      <t>DS_RMS</t>
    </r>
  </si>
  <si>
    <t>FET Conduction Losses:</t>
  </si>
  <si>
    <r>
      <t>P</t>
    </r>
    <r>
      <rPr>
        <vertAlign val="subscript"/>
        <sz val="10"/>
        <rFont val="Arial"/>
        <family val="2"/>
      </rPr>
      <t>COND</t>
    </r>
  </si>
  <si>
    <t>FET Output Capacitance:</t>
  </si>
  <si>
    <r>
      <t>C</t>
    </r>
    <r>
      <rPr>
        <vertAlign val="subscript"/>
        <sz val="10"/>
        <rFont val="Arial"/>
        <family val="2"/>
      </rPr>
      <t>OSS</t>
    </r>
  </si>
  <si>
    <t>BOOST DIODE:</t>
  </si>
  <si>
    <t>SWITCHING ELEMENT:</t>
  </si>
  <si>
    <r>
      <t>Forward Voltage Drop, at I</t>
    </r>
    <r>
      <rPr>
        <vertAlign val="subscript"/>
        <sz val="10"/>
        <rFont val="Arial"/>
        <family val="2"/>
      </rPr>
      <t>L_PEAK(max)</t>
    </r>
    <r>
      <rPr>
        <sz val="10"/>
        <rFont val="Arial"/>
        <family val="2"/>
      </rPr>
      <t>,125</t>
    </r>
    <r>
      <rPr>
        <sz val="10"/>
        <rFont val="Symbol"/>
        <family val="1"/>
        <charset val="2"/>
      </rPr>
      <t>°</t>
    </r>
    <r>
      <rPr>
        <sz val="10"/>
        <rFont val="Arial"/>
        <family val="2"/>
      </rPr>
      <t>C</t>
    </r>
  </si>
  <si>
    <r>
      <t>V</t>
    </r>
    <r>
      <rPr>
        <vertAlign val="subscript"/>
        <sz val="10"/>
        <rFont val="Arial"/>
        <family val="2"/>
      </rPr>
      <t>F</t>
    </r>
  </si>
  <si>
    <t>Reverse Recovery Charge:</t>
  </si>
  <si>
    <r>
      <t>Q</t>
    </r>
    <r>
      <rPr>
        <vertAlign val="subscript"/>
        <sz val="10"/>
        <rFont val="Arial"/>
        <family val="2"/>
      </rPr>
      <t>RR</t>
    </r>
  </si>
  <si>
    <r>
      <t>P</t>
    </r>
    <r>
      <rPr>
        <vertAlign val="subscript"/>
        <sz val="10"/>
        <rFont val="Arial"/>
        <family val="2"/>
      </rPr>
      <t>DIODE(cond)</t>
    </r>
  </si>
  <si>
    <t>Reverse Recovery Losses</t>
  </si>
  <si>
    <r>
      <t>P</t>
    </r>
    <r>
      <rPr>
        <vertAlign val="subscript"/>
        <sz val="10"/>
        <rFont val="Arial"/>
        <family val="2"/>
      </rPr>
      <t>REVERSE</t>
    </r>
  </si>
  <si>
    <t>Boost Diode Conduction Losses:</t>
  </si>
  <si>
    <t>Total Boost Diode Losses:</t>
  </si>
  <si>
    <r>
      <t>P</t>
    </r>
    <r>
      <rPr>
        <vertAlign val="subscript"/>
        <sz val="10"/>
        <rFont val="Arial"/>
        <family val="2"/>
      </rPr>
      <t>DIODE(total)</t>
    </r>
  </si>
  <si>
    <t>Boost Diode Maximum Junction Temperature:</t>
  </si>
  <si>
    <t>Boost Diode Thermal Resistance, Junction to Case:</t>
  </si>
  <si>
    <r>
      <t>R</t>
    </r>
    <r>
      <rPr>
        <vertAlign val="subscript"/>
        <sz val="10"/>
        <rFont val="Symbol"/>
        <family val="1"/>
        <charset val="2"/>
      </rPr>
      <t>q</t>
    </r>
    <r>
      <rPr>
        <vertAlign val="subscript"/>
        <sz val="10"/>
        <rFont val="Arial"/>
        <family val="2"/>
      </rPr>
      <t>JC(Diode)</t>
    </r>
  </si>
  <si>
    <r>
      <t>R</t>
    </r>
    <r>
      <rPr>
        <vertAlign val="subscript"/>
        <sz val="10"/>
        <rFont val="Symbol"/>
        <family val="1"/>
        <charset val="2"/>
      </rPr>
      <t>q</t>
    </r>
    <r>
      <rPr>
        <vertAlign val="subscript"/>
        <sz val="10"/>
        <rFont val="Arial"/>
        <family val="2"/>
      </rPr>
      <t>HS_AMB(Diode)</t>
    </r>
  </si>
  <si>
    <t>Boost Diode Thermal Resistance, Case to Heatsink:</t>
  </si>
  <si>
    <r>
      <t>R</t>
    </r>
    <r>
      <rPr>
        <vertAlign val="subscript"/>
        <sz val="10"/>
        <rFont val="Symbol"/>
        <family val="1"/>
        <charset val="2"/>
      </rPr>
      <t>q</t>
    </r>
    <r>
      <rPr>
        <vertAlign val="subscript"/>
        <sz val="10"/>
        <rFont val="Arial"/>
        <family val="2"/>
      </rPr>
      <t>JC(Case_HS)</t>
    </r>
  </si>
  <si>
    <t>pF</t>
  </si>
  <si>
    <t>FET Switching Losses:</t>
  </si>
  <si>
    <r>
      <t>P</t>
    </r>
    <r>
      <rPr>
        <vertAlign val="subscript"/>
        <sz val="10"/>
        <rFont val="Arial"/>
        <family val="2"/>
      </rPr>
      <t>SW</t>
    </r>
  </si>
  <si>
    <t>FET Losses, Total:</t>
  </si>
  <si>
    <r>
      <t>P</t>
    </r>
    <r>
      <rPr>
        <vertAlign val="subscript"/>
        <sz val="10"/>
        <rFont val="Arial"/>
        <family val="2"/>
      </rPr>
      <t>FET</t>
    </r>
  </si>
  <si>
    <t>BRIDGE RECTIFIER:</t>
  </si>
  <si>
    <r>
      <t>R</t>
    </r>
    <r>
      <rPr>
        <vertAlign val="subscript"/>
        <sz val="10"/>
        <rFont val="Symbol"/>
        <family val="1"/>
        <charset val="2"/>
      </rPr>
      <t>q</t>
    </r>
    <r>
      <rPr>
        <vertAlign val="subscript"/>
        <sz val="10"/>
        <rFont val="Arial"/>
        <family val="2"/>
      </rPr>
      <t>HS_AMB(FET)</t>
    </r>
  </si>
  <si>
    <t>FET Maximum Junction Temperature:</t>
  </si>
  <si>
    <t>FET Thermal Resistance, Junction to Case:</t>
  </si>
  <si>
    <r>
      <t>R</t>
    </r>
    <r>
      <rPr>
        <vertAlign val="subscript"/>
        <sz val="10"/>
        <rFont val="Symbol"/>
        <family val="1"/>
        <charset val="2"/>
      </rPr>
      <t>q</t>
    </r>
    <r>
      <rPr>
        <vertAlign val="subscript"/>
        <sz val="10"/>
        <rFont val="Arial"/>
        <family val="2"/>
      </rPr>
      <t>JC(FET)</t>
    </r>
  </si>
  <si>
    <t>CURRENT SENSE RESISTOR:</t>
  </si>
  <si>
    <t>Bridge Rectifier Minimum DC Blocking Voltage Rating:</t>
  </si>
  <si>
    <t>Bridge Rectifier Minimum Average Current Rating:</t>
  </si>
  <si>
    <r>
      <t>V</t>
    </r>
    <r>
      <rPr>
        <vertAlign val="subscript"/>
        <sz val="10"/>
        <rFont val="Arial"/>
        <family val="2"/>
      </rPr>
      <t>DC_BLOCKING(RATED</t>
    </r>
    <r>
      <rPr>
        <sz val="10"/>
        <rFont val="Arial"/>
        <family val="2"/>
      </rPr>
      <t>)</t>
    </r>
  </si>
  <si>
    <r>
      <t>R</t>
    </r>
    <r>
      <rPr>
        <vertAlign val="subscript"/>
        <sz val="10"/>
        <rFont val="Arial"/>
        <family val="2"/>
      </rPr>
      <t>SENSE</t>
    </r>
  </si>
  <si>
    <r>
      <t>I</t>
    </r>
    <r>
      <rPr>
        <vertAlign val="subscript"/>
        <sz val="10"/>
        <rFont val="Arial"/>
        <family val="2"/>
      </rPr>
      <t>OVERCURRENT</t>
    </r>
    <r>
      <rPr>
        <sz val="10"/>
        <rFont val="Arial"/>
        <family val="2"/>
      </rPr>
      <t>_</t>
    </r>
    <r>
      <rPr>
        <vertAlign val="subscript"/>
        <sz val="10"/>
        <rFont val="Arial"/>
        <family val="2"/>
      </rPr>
      <t>SOC</t>
    </r>
  </si>
  <si>
    <r>
      <t>Power Dissipated in R</t>
    </r>
    <r>
      <rPr>
        <vertAlign val="subscript"/>
        <sz val="10"/>
        <rFont val="Arial"/>
        <family val="2"/>
      </rPr>
      <t>SENSE</t>
    </r>
    <r>
      <rPr>
        <sz val="10"/>
        <rFont val="Arial"/>
        <family val="2"/>
      </rPr>
      <t>:</t>
    </r>
  </si>
  <si>
    <r>
      <t>P</t>
    </r>
    <r>
      <rPr>
        <vertAlign val="subscript"/>
        <sz val="10"/>
        <rFont val="Arial"/>
        <family val="2"/>
      </rPr>
      <t>Rsense</t>
    </r>
  </si>
  <si>
    <t>ISENSE Peak Current Limit Threshold:</t>
  </si>
  <si>
    <r>
      <t>I</t>
    </r>
    <r>
      <rPr>
        <vertAlign val="subscript"/>
        <sz val="10"/>
        <rFont val="Arial"/>
        <family val="2"/>
      </rPr>
      <t>PCL</t>
    </r>
  </si>
  <si>
    <r>
      <t>Bridge Rectifier Forward Voltage, at I</t>
    </r>
    <r>
      <rPr>
        <vertAlign val="subscript"/>
        <sz val="10"/>
        <rFont val="Arial"/>
        <family val="2"/>
      </rPr>
      <t>IN_PEAK(max)</t>
    </r>
    <r>
      <rPr>
        <sz val="10"/>
        <rFont val="Arial"/>
        <family val="2"/>
      </rPr>
      <t>:</t>
    </r>
  </si>
  <si>
    <r>
      <t>I</t>
    </r>
    <r>
      <rPr>
        <vertAlign val="subscript"/>
        <sz val="10"/>
        <rFont val="Arial"/>
        <family val="2"/>
      </rPr>
      <t>OUT_OVERCURRENT</t>
    </r>
  </si>
  <si>
    <t>Maximum Inrush Current:</t>
  </si>
  <si>
    <r>
      <t>I</t>
    </r>
    <r>
      <rPr>
        <vertAlign val="subscript"/>
        <sz val="10"/>
        <rFont val="Arial"/>
        <family val="2"/>
      </rPr>
      <t>INRUSH</t>
    </r>
  </si>
  <si>
    <r>
      <t>R</t>
    </r>
    <r>
      <rPr>
        <vertAlign val="subscript"/>
        <sz val="10"/>
        <rFont val="Arial"/>
        <family val="2"/>
      </rPr>
      <t>THERM</t>
    </r>
  </si>
  <si>
    <t>Theoretical Output Overcurrent Inception Point:</t>
  </si>
  <si>
    <t>ISENSE Filter Capacitor:</t>
  </si>
  <si>
    <t>OUTPUT CAPACITOR:</t>
  </si>
  <si>
    <t>ms</t>
  </si>
  <si>
    <t>Inductor Current at Soft Overcurrent Threshold:</t>
  </si>
  <si>
    <t>Required Minimum Output Voltage:</t>
  </si>
  <si>
    <r>
      <t>V</t>
    </r>
    <r>
      <rPr>
        <vertAlign val="subscript"/>
        <sz val="10"/>
        <rFont val="Arial"/>
        <family val="2"/>
      </rPr>
      <t>OUT_HOLDUP(min)</t>
    </r>
  </si>
  <si>
    <r>
      <t>C</t>
    </r>
    <r>
      <rPr>
        <vertAlign val="subscript"/>
        <sz val="10"/>
        <rFont val="Arial"/>
        <family val="2"/>
      </rPr>
      <t>OUT</t>
    </r>
  </si>
  <si>
    <t>Output Voltage Peak to Peak Ripple:</t>
  </si>
  <si>
    <r>
      <t>V</t>
    </r>
    <r>
      <rPr>
        <vertAlign val="subscript"/>
        <sz val="10"/>
        <rFont val="Arial"/>
        <family val="2"/>
      </rPr>
      <t>OUT_RIPPLEpp</t>
    </r>
  </si>
  <si>
    <r>
      <t>I</t>
    </r>
    <r>
      <rPr>
        <vertAlign val="subscript"/>
        <sz val="10"/>
        <rFont val="Arial"/>
        <family val="2"/>
      </rPr>
      <t>Cout_2fline</t>
    </r>
  </si>
  <si>
    <r>
      <t>I</t>
    </r>
    <r>
      <rPr>
        <vertAlign val="subscript"/>
        <sz val="10"/>
        <rFont val="Arial"/>
        <family val="2"/>
      </rPr>
      <t>Cout_HF</t>
    </r>
  </si>
  <si>
    <r>
      <t>A</t>
    </r>
    <r>
      <rPr>
        <vertAlign val="subscript"/>
        <sz val="10"/>
        <rFont val="Arial"/>
        <family val="2"/>
      </rPr>
      <t>RMS</t>
    </r>
  </si>
  <si>
    <t>Output Capacitor High Frequency Ripple Current:</t>
  </si>
  <si>
    <t>Output Capacitor Ripple Current at Twice Line Frequency:</t>
  </si>
  <si>
    <r>
      <t>I</t>
    </r>
    <r>
      <rPr>
        <vertAlign val="subscript"/>
        <sz val="10"/>
        <rFont val="Arial"/>
        <family val="2"/>
      </rPr>
      <t>Cout_RMS(total)</t>
    </r>
  </si>
  <si>
    <t>Actual Output Capacitor Value:</t>
  </si>
  <si>
    <t>Recommended Value for the Top Divider Resistor:</t>
  </si>
  <si>
    <r>
      <t>M</t>
    </r>
    <r>
      <rPr>
        <sz val="10"/>
        <rFont val="Symbol"/>
        <family val="1"/>
        <charset val="2"/>
      </rPr>
      <t>W</t>
    </r>
  </si>
  <si>
    <t>Actual Value of the Top Divider Resistor:</t>
  </si>
  <si>
    <r>
      <t>R</t>
    </r>
    <r>
      <rPr>
        <vertAlign val="subscript"/>
        <sz val="10"/>
        <rFont val="Arial"/>
        <family val="2"/>
      </rPr>
      <t>FB1(actual)</t>
    </r>
  </si>
  <si>
    <t>Recommended Value for the Bottom Divider Resistor:</t>
  </si>
  <si>
    <r>
      <t>R</t>
    </r>
    <r>
      <rPr>
        <vertAlign val="subscript"/>
        <sz val="10"/>
        <rFont val="Arial"/>
        <family val="2"/>
      </rPr>
      <t>FB2(actual)</t>
    </r>
  </si>
  <si>
    <r>
      <t>k</t>
    </r>
    <r>
      <rPr>
        <sz val="10"/>
        <rFont val="Symbol"/>
        <family val="1"/>
        <charset val="2"/>
      </rPr>
      <t>W</t>
    </r>
  </si>
  <si>
    <t>Actual Nominal Output Voltage:</t>
  </si>
  <si>
    <r>
      <t>V</t>
    </r>
    <r>
      <rPr>
        <vertAlign val="subscript"/>
        <sz val="10"/>
        <rFont val="Arial"/>
        <family val="2"/>
      </rPr>
      <t>OUT</t>
    </r>
  </si>
  <si>
    <t>OUTPUT VOLTAGE SET POINT:</t>
  </si>
  <si>
    <r>
      <t>V</t>
    </r>
    <r>
      <rPr>
        <vertAlign val="subscript"/>
        <sz val="10"/>
        <rFont val="Arial"/>
        <family val="2"/>
      </rPr>
      <t>OVP</t>
    </r>
  </si>
  <si>
    <t>OVP Set Point: Typical DC Output Voltage to Trigger OVP</t>
  </si>
  <si>
    <t>BROWN-OUT PROTECTION:</t>
  </si>
  <si>
    <t>Desired AC Line Voltage Turn-On Threshold:</t>
  </si>
  <si>
    <r>
      <t>V</t>
    </r>
    <r>
      <rPr>
        <vertAlign val="subscript"/>
        <sz val="10"/>
        <rFont val="Arial"/>
        <family val="2"/>
      </rPr>
      <t>AC(on)</t>
    </r>
  </si>
  <si>
    <r>
      <t>V</t>
    </r>
    <r>
      <rPr>
        <vertAlign val="subscript"/>
        <sz val="10"/>
        <rFont val="Arial"/>
        <family val="2"/>
      </rPr>
      <t>RMS</t>
    </r>
  </si>
  <si>
    <t>Maximum VINS Divider Resistor Power Dissipation:</t>
  </si>
  <si>
    <r>
      <t>P</t>
    </r>
    <r>
      <rPr>
        <vertAlign val="subscript"/>
        <sz val="10"/>
        <rFont val="Arial"/>
        <family val="2"/>
      </rPr>
      <t>R_VINS1</t>
    </r>
  </si>
  <si>
    <t>mW</t>
  </si>
  <si>
    <t>Recommended Value of VINS Top Divider Resistor:</t>
  </si>
  <si>
    <r>
      <t>Actual Value for R</t>
    </r>
    <r>
      <rPr>
        <vertAlign val="subscript"/>
        <sz val="10"/>
        <rFont val="Arial"/>
        <family val="2"/>
      </rPr>
      <t>SENSE</t>
    </r>
    <r>
      <rPr>
        <sz val="10"/>
        <rFont val="Arial"/>
        <family val="2"/>
      </rPr>
      <t>: Current Sense Resistor</t>
    </r>
  </si>
  <si>
    <r>
      <t>FET On-Resistance at  T</t>
    </r>
    <r>
      <rPr>
        <vertAlign val="subscript"/>
        <sz val="10"/>
        <rFont val="Arial"/>
        <family val="2"/>
      </rPr>
      <t>J</t>
    </r>
    <r>
      <rPr>
        <sz val="10"/>
        <rFont val="Arial"/>
        <family val="2"/>
      </rPr>
      <t xml:space="preserve"> = 125°C: </t>
    </r>
  </si>
  <si>
    <t>FET Rise Time:</t>
  </si>
  <si>
    <r>
      <t>t</t>
    </r>
    <r>
      <rPr>
        <vertAlign val="subscript"/>
        <sz val="10"/>
        <rFont val="Arial"/>
        <family val="2"/>
      </rPr>
      <t>r</t>
    </r>
  </si>
  <si>
    <t>ns</t>
  </si>
  <si>
    <t>ISENSE Series Resistor:</t>
  </si>
  <si>
    <t>COMPENSATION:</t>
  </si>
  <si>
    <t>M1M2</t>
  </si>
  <si>
    <t>VCOMP</t>
  </si>
  <si>
    <r>
      <t>M</t>
    </r>
    <r>
      <rPr>
        <vertAlign val="subscript"/>
        <sz val="10"/>
        <rFont val="Arial"/>
        <family val="2"/>
      </rPr>
      <t>1</t>
    </r>
    <r>
      <rPr>
        <sz val="10"/>
        <rFont val="Arial"/>
        <family val="2"/>
      </rPr>
      <t/>
    </r>
  </si>
  <si>
    <r>
      <t>M</t>
    </r>
    <r>
      <rPr>
        <vertAlign val="subscript"/>
        <sz val="10"/>
        <rFont val="Arial"/>
        <family val="2"/>
      </rPr>
      <t>2</t>
    </r>
    <r>
      <rPr>
        <sz val="10"/>
        <rFont val="Arial"/>
        <family val="2"/>
      </rPr>
      <t/>
    </r>
  </si>
  <si>
    <r>
      <t>V/</t>
    </r>
    <r>
      <rPr>
        <sz val="10"/>
        <rFont val="Symbol"/>
        <family val="1"/>
        <charset val="2"/>
      </rPr>
      <t>m</t>
    </r>
    <r>
      <rPr>
        <sz val="10"/>
        <rFont val="Arial"/>
        <family val="2"/>
      </rPr>
      <t>s</t>
    </r>
  </si>
  <si>
    <t>M1</t>
  </si>
  <si>
    <t>M2</t>
  </si>
  <si>
    <t>kHz</t>
  </si>
  <si>
    <t>Recommended Value for ICOMP Capacitor:</t>
  </si>
  <si>
    <t>Actual Value Used for ICOMP Capacitor:</t>
  </si>
  <si>
    <r>
      <t>C</t>
    </r>
    <r>
      <rPr>
        <vertAlign val="subscript"/>
        <sz val="10"/>
        <rFont val="Arial"/>
        <family val="2"/>
      </rPr>
      <t>ICOMP(actual)</t>
    </r>
  </si>
  <si>
    <t>Data for M1M2 vs VCOMP table</t>
  </si>
  <si>
    <t>Data For Current Averaging Bode Plot</t>
  </si>
  <si>
    <t>Gain</t>
  </si>
  <si>
    <t>Log scale converter</t>
  </si>
  <si>
    <t>frequency</t>
  </si>
  <si>
    <t>w</t>
  </si>
  <si>
    <t>Phase</t>
  </si>
  <si>
    <t xml:space="preserve">Open Loop Transfer Function for Voltage Loop:  </t>
  </si>
  <si>
    <t xml:space="preserve">Open Loop Transfer Function for Current Loop:  </t>
  </si>
  <si>
    <r>
      <t>Internal Current Loop Gain Factor M</t>
    </r>
    <r>
      <rPr>
        <vertAlign val="subscript"/>
        <sz val="10"/>
        <rFont val="Arial"/>
        <family val="2"/>
      </rPr>
      <t>1</t>
    </r>
  </si>
  <si>
    <r>
      <t>Internal Voltage Loop PWM Ramp Slope M</t>
    </r>
    <r>
      <rPr>
        <vertAlign val="subscript"/>
        <sz val="10"/>
        <rFont val="Arial"/>
        <family val="2"/>
      </rPr>
      <t>2</t>
    </r>
    <r>
      <rPr>
        <sz val="10"/>
        <rFont val="Arial"/>
        <family val="2"/>
      </rPr>
      <t/>
    </r>
  </si>
  <si>
    <t>Data for Current Averaging Chart</t>
  </si>
  <si>
    <t>x</t>
  </si>
  <si>
    <t>a(x)</t>
  </si>
  <si>
    <t>PWM to Power Stage Pole:</t>
  </si>
  <si>
    <r>
      <t>f</t>
    </r>
    <r>
      <rPr>
        <vertAlign val="subscript"/>
        <sz val="10"/>
        <rFont val="Arial"/>
        <family val="2"/>
      </rPr>
      <t>PWM_PS(pole)</t>
    </r>
  </si>
  <si>
    <t>Total Output Capacitor Ripple Current:</t>
  </si>
  <si>
    <r>
      <t>Resistor Tolerance of R</t>
    </r>
    <r>
      <rPr>
        <vertAlign val="subscript"/>
        <sz val="10"/>
        <rFont val="Arial"/>
        <family val="2"/>
      </rPr>
      <t>FB1(actual)</t>
    </r>
    <r>
      <rPr>
        <sz val="10"/>
        <rFont val="Arial"/>
        <family val="2"/>
      </rPr>
      <t>:</t>
    </r>
  </si>
  <si>
    <t>%</t>
  </si>
  <si>
    <r>
      <t>Resistor Tolerance of R</t>
    </r>
    <r>
      <rPr>
        <vertAlign val="subscript"/>
        <sz val="10"/>
        <rFont val="Arial"/>
        <family val="2"/>
      </rPr>
      <t>FB2(actual)</t>
    </r>
    <r>
      <rPr>
        <sz val="10"/>
        <rFont val="Arial"/>
        <family val="2"/>
      </rPr>
      <t>:</t>
    </r>
  </si>
  <si>
    <r>
      <t>D</t>
    </r>
    <r>
      <rPr>
        <sz val="10"/>
        <rFont val="Arial"/>
        <family val="2"/>
      </rPr>
      <t>R</t>
    </r>
    <r>
      <rPr>
        <vertAlign val="subscript"/>
        <sz val="10"/>
        <rFont val="Arial"/>
        <family val="2"/>
      </rPr>
      <t>FB1(actual)</t>
    </r>
  </si>
  <si>
    <r>
      <t>D</t>
    </r>
    <r>
      <rPr>
        <sz val="10"/>
        <rFont val="Arial"/>
        <family val="2"/>
      </rPr>
      <t>R</t>
    </r>
    <r>
      <rPr>
        <vertAlign val="subscript"/>
        <sz val="10"/>
        <rFont val="Arial"/>
        <family val="2"/>
      </rPr>
      <t>FB2(actual)</t>
    </r>
  </si>
  <si>
    <t>Data For Open Loop Voltage Bode Plot</t>
  </si>
  <si>
    <r>
      <t>Resistance of Thermistor at 25</t>
    </r>
    <r>
      <rPr>
        <sz val="10"/>
        <rFont val="Symbol"/>
        <family val="1"/>
        <charset val="2"/>
      </rPr>
      <t>°</t>
    </r>
    <r>
      <rPr>
        <sz val="10"/>
        <rFont val="Arial"/>
        <family val="2"/>
      </rPr>
      <t>C</t>
    </r>
  </si>
  <si>
    <t>Inductor Peak-to-Peak Current Ripple Factor (i.e. 0.2 for 20%, 0.3 for 30%):</t>
  </si>
  <si>
    <t>Maximum High Frequency Voltage Ripple Factor (i.e. 0.03 for 3%, 0.09 for 9%):</t>
  </si>
  <si>
    <r>
      <t>I</t>
    </r>
    <r>
      <rPr>
        <vertAlign val="subscript"/>
        <sz val="10"/>
        <rFont val="Arial"/>
        <family val="2"/>
      </rPr>
      <t>OUT</t>
    </r>
  </si>
  <si>
    <r>
      <t>V</t>
    </r>
    <r>
      <rPr>
        <vertAlign val="subscript"/>
        <sz val="10"/>
        <rFont val="Arial"/>
        <family val="2"/>
      </rPr>
      <t>IN(min)</t>
    </r>
  </si>
  <si>
    <r>
      <t>V</t>
    </r>
    <r>
      <rPr>
        <vertAlign val="subscript"/>
        <sz val="10"/>
        <rFont val="Arial"/>
        <family val="2"/>
      </rPr>
      <t>IN(max)</t>
    </r>
  </si>
  <si>
    <r>
      <t>V</t>
    </r>
    <r>
      <rPr>
        <vertAlign val="subscript"/>
        <sz val="10"/>
        <rFont val="Arial"/>
        <family val="2"/>
      </rPr>
      <t>IN(nom)</t>
    </r>
  </si>
  <si>
    <t>Voltage Feedback Gain</t>
  </si>
  <si>
    <t>PWM to Power Stage Gain</t>
  </si>
  <si>
    <t>dB</t>
  </si>
  <si>
    <t>Total Open Loop Gain</t>
  </si>
  <si>
    <t>Total Open Loop Phase</t>
  </si>
  <si>
    <r>
      <t>f</t>
    </r>
    <r>
      <rPr>
        <vertAlign val="subscript"/>
        <sz val="10"/>
        <rFont val="Arial"/>
        <family val="2"/>
      </rPr>
      <t>V</t>
    </r>
  </si>
  <si>
    <r>
      <t>Desired Voltage Loop Crossover Frequency ( f</t>
    </r>
    <r>
      <rPr>
        <vertAlign val="subscript"/>
        <sz val="10"/>
        <rFont val="Arial"/>
        <family val="2"/>
      </rPr>
      <t>V</t>
    </r>
    <r>
      <rPr>
        <sz val="10"/>
        <rFont val="Arial"/>
        <family val="2"/>
      </rPr>
      <t xml:space="preserve"> &lt; 20Hz):</t>
    </r>
  </si>
  <si>
    <r>
      <t>Open Loop Voltage Gain at Desired f</t>
    </r>
    <r>
      <rPr>
        <vertAlign val="subscript"/>
        <sz val="10"/>
        <rFont val="Arial"/>
        <family val="2"/>
      </rPr>
      <t>V</t>
    </r>
    <r>
      <rPr>
        <sz val="10"/>
        <rFont val="Arial"/>
        <family val="2"/>
      </rPr>
      <t>:</t>
    </r>
  </si>
  <si>
    <r>
      <t>G</t>
    </r>
    <r>
      <rPr>
        <vertAlign val="subscript"/>
        <sz val="10"/>
        <rFont val="Arial"/>
        <family val="2"/>
      </rPr>
      <t>VLdB</t>
    </r>
    <r>
      <rPr>
        <sz val="10"/>
        <rFont val="Arial"/>
        <family val="2"/>
      </rPr>
      <t>(f</t>
    </r>
    <r>
      <rPr>
        <vertAlign val="subscript"/>
        <sz val="10"/>
        <rFont val="Arial"/>
        <family val="2"/>
      </rPr>
      <t>V</t>
    </r>
    <r>
      <rPr>
        <sz val="10"/>
        <rFont val="Arial"/>
        <family val="2"/>
      </rPr>
      <t>)</t>
    </r>
  </si>
  <si>
    <r>
      <t>Temperature Coefficient of R</t>
    </r>
    <r>
      <rPr>
        <vertAlign val="subscript"/>
        <sz val="10"/>
        <rFont val="Arial"/>
        <family val="2"/>
      </rPr>
      <t>FB1(actual)</t>
    </r>
  </si>
  <si>
    <r>
      <t>ppm/</t>
    </r>
    <r>
      <rPr>
        <sz val="10"/>
        <rFont val="Symbol"/>
        <family val="1"/>
        <charset val="2"/>
      </rPr>
      <t>°</t>
    </r>
    <r>
      <rPr>
        <sz val="10"/>
        <rFont val="Arial"/>
        <family val="2"/>
      </rPr>
      <t>C</t>
    </r>
  </si>
  <si>
    <r>
      <t>Temperature Coefficient of R</t>
    </r>
    <r>
      <rPr>
        <vertAlign val="subscript"/>
        <sz val="10"/>
        <rFont val="Arial"/>
        <family val="2"/>
      </rPr>
      <t>FB2(actual)</t>
    </r>
  </si>
  <si>
    <r>
      <t>R</t>
    </r>
    <r>
      <rPr>
        <vertAlign val="subscript"/>
        <sz val="10"/>
        <rFont val="Arial"/>
        <family val="2"/>
      </rPr>
      <t>FB1_tempco</t>
    </r>
  </si>
  <si>
    <r>
      <t>R</t>
    </r>
    <r>
      <rPr>
        <vertAlign val="subscript"/>
        <sz val="10"/>
        <rFont val="Arial"/>
        <family val="2"/>
      </rPr>
      <t>FB2_tempco</t>
    </r>
  </si>
  <si>
    <r>
      <t>f</t>
    </r>
    <r>
      <rPr>
        <vertAlign val="subscript"/>
        <sz val="10"/>
        <rFont val="Arial"/>
        <family val="2"/>
      </rPr>
      <t>IAVG</t>
    </r>
  </si>
  <si>
    <t>Resultant Actual Current Averaging Pole Frequency:</t>
  </si>
  <si>
    <r>
      <t>f</t>
    </r>
    <r>
      <rPr>
        <vertAlign val="subscript"/>
        <sz val="10"/>
        <rFont val="Arial"/>
        <family val="2"/>
      </rPr>
      <t>IAVG(actual)</t>
    </r>
  </si>
  <si>
    <t>Minimum Input Fuse Rating:</t>
  </si>
  <si>
    <r>
      <t>C</t>
    </r>
    <r>
      <rPr>
        <b/>
        <vertAlign val="subscript"/>
        <sz val="10"/>
        <rFont val="Arial"/>
        <family val="2"/>
      </rPr>
      <t>IN</t>
    </r>
  </si>
  <si>
    <r>
      <t>L</t>
    </r>
    <r>
      <rPr>
        <b/>
        <vertAlign val="subscript"/>
        <sz val="10"/>
        <rFont val="Arial"/>
        <family val="2"/>
      </rPr>
      <t>BST</t>
    </r>
  </si>
  <si>
    <r>
      <t>R</t>
    </r>
    <r>
      <rPr>
        <b/>
        <vertAlign val="subscript"/>
        <sz val="10"/>
        <rFont val="Arial"/>
        <family val="2"/>
      </rPr>
      <t>SENSE(ideal)</t>
    </r>
  </si>
  <si>
    <r>
      <t>R</t>
    </r>
    <r>
      <rPr>
        <b/>
        <vertAlign val="subscript"/>
        <sz val="10"/>
        <rFont val="Arial"/>
        <family val="2"/>
      </rPr>
      <t>ISENSE</t>
    </r>
  </si>
  <si>
    <r>
      <t>C</t>
    </r>
    <r>
      <rPr>
        <b/>
        <vertAlign val="subscript"/>
        <sz val="10"/>
        <rFont val="Arial"/>
        <family val="2"/>
      </rPr>
      <t>ISENSE</t>
    </r>
  </si>
  <si>
    <r>
      <t>Ideal Value for R</t>
    </r>
    <r>
      <rPr>
        <b/>
        <vertAlign val="subscript"/>
        <sz val="10"/>
        <rFont val="Arial"/>
        <family val="2"/>
      </rPr>
      <t>SENSE</t>
    </r>
    <r>
      <rPr>
        <b/>
        <sz val="10"/>
        <rFont val="Arial"/>
        <family val="2"/>
      </rPr>
      <t>, for 110% Inductor SOC Threshold:</t>
    </r>
  </si>
  <si>
    <t>Minimum Boost Inductor Value:</t>
  </si>
  <si>
    <r>
      <t>C</t>
    </r>
    <r>
      <rPr>
        <b/>
        <vertAlign val="subscript"/>
        <sz val="10"/>
        <rFont val="Arial"/>
        <family val="2"/>
      </rPr>
      <t>OUT</t>
    </r>
  </si>
  <si>
    <r>
      <t>R</t>
    </r>
    <r>
      <rPr>
        <b/>
        <vertAlign val="subscript"/>
        <sz val="10"/>
        <rFont val="Arial"/>
        <family val="2"/>
      </rPr>
      <t>FB1</t>
    </r>
  </si>
  <si>
    <r>
      <t>R</t>
    </r>
    <r>
      <rPr>
        <b/>
        <vertAlign val="subscript"/>
        <sz val="10"/>
        <rFont val="Arial"/>
        <family val="2"/>
      </rPr>
      <t>FB2</t>
    </r>
  </si>
  <si>
    <r>
      <t>C</t>
    </r>
    <r>
      <rPr>
        <b/>
        <vertAlign val="subscript"/>
        <sz val="10"/>
        <rFont val="Arial"/>
        <family val="2"/>
      </rPr>
      <t>ICOMP</t>
    </r>
  </si>
  <si>
    <t>Recommended Value for Filter Capacitor on VSENSE:</t>
  </si>
  <si>
    <r>
      <t>C</t>
    </r>
    <r>
      <rPr>
        <b/>
        <vertAlign val="subscript"/>
        <sz val="10"/>
        <rFont val="Arial"/>
        <family val="2"/>
      </rPr>
      <t>VSENSE</t>
    </r>
  </si>
  <si>
    <t>Recommended Value for the Voltage Compensation Capacitor:</t>
  </si>
  <si>
    <t>rad</t>
  </si>
  <si>
    <t>degrees</t>
  </si>
  <si>
    <t>V/V</t>
  </si>
  <si>
    <r>
      <t>Actual Value Used for C</t>
    </r>
    <r>
      <rPr>
        <vertAlign val="subscript"/>
        <sz val="10"/>
        <rFont val="Arial"/>
        <family val="2"/>
      </rPr>
      <t>VCOMP</t>
    </r>
    <r>
      <rPr>
        <sz val="10"/>
        <rFont val="Arial"/>
        <family val="2"/>
      </rPr>
      <t xml:space="preserve"> Capacitor:</t>
    </r>
  </si>
  <si>
    <r>
      <t>C</t>
    </r>
    <r>
      <rPr>
        <b/>
        <vertAlign val="subscript"/>
        <sz val="10"/>
        <rFont val="Arial"/>
        <family val="2"/>
      </rPr>
      <t>VCOMP</t>
    </r>
  </si>
  <si>
    <r>
      <t>m</t>
    </r>
    <r>
      <rPr>
        <b/>
        <sz val="10"/>
        <rFont val="Arial"/>
        <family val="2"/>
      </rPr>
      <t>F</t>
    </r>
  </si>
  <si>
    <r>
      <t>k</t>
    </r>
    <r>
      <rPr>
        <b/>
        <sz val="10"/>
        <rFont val="Symbol"/>
        <family val="1"/>
        <charset val="2"/>
      </rPr>
      <t>W</t>
    </r>
  </si>
  <si>
    <r>
      <t>M</t>
    </r>
    <r>
      <rPr>
        <b/>
        <sz val="10"/>
        <rFont val="Symbol"/>
        <family val="1"/>
        <charset val="2"/>
      </rPr>
      <t>W</t>
    </r>
  </si>
  <si>
    <r>
      <t>C</t>
    </r>
    <r>
      <rPr>
        <vertAlign val="subscript"/>
        <sz val="10"/>
        <rFont val="Arial"/>
        <family val="2"/>
      </rPr>
      <t>VCOMP(actual)</t>
    </r>
  </si>
  <si>
    <t>Recommended Value for the Voltage Compensation Resistor:</t>
  </si>
  <si>
    <r>
      <t>R</t>
    </r>
    <r>
      <rPr>
        <b/>
        <vertAlign val="subscript"/>
        <sz val="10"/>
        <rFont val="Arial"/>
        <family val="2"/>
      </rPr>
      <t>VCOMP</t>
    </r>
  </si>
  <si>
    <r>
      <t>Actual Value Used for R</t>
    </r>
    <r>
      <rPr>
        <vertAlign val="subscript"/>
        <sz val="10"/>
        <rFont val="Arial"/>
        <family val="2"/>
      </rPr>
      <t>VCOMP</t>
    </r>
    <r>
      <rPr>
        <sz val="10"/>
        <rFont val="Arial"/>
        <family val="2"/>
      </rPr>
      <t xml:space="preserve"> Resistor:</t>
    </r>
  </si>
  <si>
    <r>
      <t>R</t>
    </r>
    <r>
      <rPr>
        <vertAlign val="subscript"/>
        <sz val="10"/>
        <rFont val="Arial"/>
        <family val="2"/>
      </rPr>
      <t>VCOMP(actual)</t>
    </r>
  </si>
  <si>
    <t>Resultant Value of Voltage Compensation Zero:</t>
  </si>
  <si>
    <r>
      <t>f</t>
    </r>
    <r>
      <rPr>
        <vertAlign val="subscript"/>
        <sz val="10"/>
        <rFont val="Arial"/>
        <family val="2"/>
      </rPr>
      <t>ZERO</t>
    </r>
  </si>
  <si>
    <t>Recommended Value for the Parallel Voltage Compensation Capacitor:</t>
  </si>
  <si>
    <r>
      <t>Desired Voltage Compensation Pole (f</t>
    </r>
    <r>
      <rPr>
        <vertAlign val="subscript"/>
        <sz val="10"/>
        <rFont val="Arial"/>
        <family val="2"/>
      </rPr>
      <t>Pole</t>
    </r>
    <r>
      <rPr>
        <sz val="10"/>
        <rFont val="Arial"/>
        <family val="2"/>
      </rPr>
      <t xml:space="preserve"> &lt; 50Hz)</t>
    </r>
  </si>
  <si>
    <r>
      <t>f</t>
    </r>
    <r>
      <rPr>
        <vertAlign val="subscript"/>
        <sz val="10"/>
        <rFont val="Arial"/>
        <family val="2"/>
      </rPr>
      <t>POLE</t>
    </r>
  </si>
  <si>
    <r>
      <t>C</t>
    </r>
    <r>
      <rPr>
        <b/>
        <vertAlign val="subscript"/>
        <sz val="10"/>
        <rFont val="Arial"/>
        <family val="2"/>
      </rPr>
      <t>VCOMP_P</t>
    </r>
  </si>
  <si>
    <t>Data for Closed Loop Voltage Bode Plot</t>
  </si>
  <si>
    <t>EA Gain</t>
  </si>
  <si>
    <t>Actual Value for the Parallel Voltage Compensation Capacitor:</t>
  </si>
  <si>
    <r>
      <t>C</t>
    </r>
    <r>
      <rPr>
        <vertAlign val="subscript"/>
        <sz val="10"/>
        <rFont val="Arial"/>
        <family val="2"/>
      </rPr>
      <t>VCOMP_P(actual)</t>
    </r>
  </si>
  <si>
    <t>1+sRVCOMPCVCOMP</t>
  </si>
  <si>
    <t>s(CVCOMP+CVCOMP_P)</t>
  </si>
  <si>
    <t>1+S(rvcompcvcompcvcomp_p/CVCOMP+CVCOMPP)</t>
  </si>
  <si>
    <t>Total Closed Voltage Loop Bode Plot</t>
  </si>
  <si>
    <t>Phase Margin</t>
  </si>
  <si>
    <r>
      <t>R</t>
    </r>
    <r>
      <rPr>
        <b/>
        <vertAlign val="subscript"/>
        <sz val="10"/>
        <rFont val="Arial"/>
        <family val="2"/>
      </rPr>
      <t>VINS1</t>
    </r>
  </si>
  <si>
    <t>Power Dissipated in Voltage Divider:</t>
  </si>
  <si>
    <r>
      <t>P</t>
    </r>
    <r>
      <rPr>
        <vertAlign val="subscript"/>
        <sz val="10"/>
        <rFont val="Arial"/>
        <family val="2"/>
      </rPr>
      <t>RfB1+RFB2</t>
    </r>
  </si>
  <si>
    <t>Actual Value of VINS Top Divider Resistor:</t>
  </si>
  <si>
    <r>
      <t>R</t>
    </r>
    <r>
      <rPr>
        <vertAlign val="subscript"/>
        <sz val="10"/>
        <rFont val="Arial"/>
        <family val="2"/>
      </rPr>
      <t>VINS1(actual)</t>
    </r>
  </si>
  <si>
    <r>
      <t>R</t>
    </r>
    <r>
      <rPr>
        <b/>
        <vertAlign val="subscript"/>
        <sz val="10"/>
        <rFont val="Arial"/>
        <family val="2"/>
      </rPr>
      <t>VINS2</t>
    </r>
  </si>
  <si>
    <t>Recommended Value of VINS Bottom Divider Resistor:</t>
  </si>
  <si>
    <t>Actual Value of VINS Bottom Divider Resistor:</t>
  </si>
  <si>
    <r>
      <t>R</t>
    </r>
    <r>
      <rPr>
        <vertAlign val="subscript"/>
        <sz val="10"/>
        <rFont val="Arial"/>
        <family val="2"/>
      </rPr>
      <t>VINS2(actual)</t>
    </r>
  </si>
  <si>
    <t>Desired Number of Line Cycles For Output Holdup Time  (typ one line cycle):</t>
  </si>
  <si>
    <t>Minimum Output Voltage Holdup Time</t>
  </si>
  <si>
    <r>
      <t>N</t>
    </r>
    <r>
      <rPr>
        <vertAlign val="subscript"/>
        <sz val="10"/>
        <rFont val="Arial"/>
        <family val="2"/>
      </rPr>
      <t>HOLD_UP</t>
    </r>
  </si>
  <si>
    <r>
      <t>t</t>
    </r>
    <r>
      <rPr>
        <vertAlign val="subscript"/>
        <sz val="10"/>
        <rFont val="Arial"/>
        <family val="2"/>
      </rPr>
      <t>Hold_UP(min)</t>
    </r>
  </si>
  <si>
    <r>
      <t>C</t>
    </r>
    <r>
      <rPr>
        <b/>
        <vertAlign val="subscript"/>
        <sz val="10"/>
        <rFont val="Arial"/>
        <family val="2"/>
      </rPr>
      <t>VINS</t>
    </r>
  </si>
  <si>
    <r>
      <t>Desired Current Averaging Pole Frequency (6.5kHz &lt;f</t>
    </r>
    <r>
      <rPr>
        <vertAlign val="subscript"/>
        <sz val="10"/>
        <rFont val="Arial"/>
        <family val="2"/>
      </rPr>
      <t>IAVG</t>
    </r>
    <r>
      <rPr>
        <sz val="10"/>
        <rFont val="Arial"/>
        <family val="2"/>
      </rPr>
      <t xml:space="preserve"> &lt; 13kHz)</t>
    </r>
  </si>
  <si>
    <r>
      <t>Target Power Factor, V</t>
    </r>
    <r>
      <rPr>
        <vertAlign val="subscript"/>
        <sz val="10"/>
        <rFont val="Arial"/>
        <family val="2"/>
      </rPr>
      <t>IN(nom)</t>
    </r>
    <r>
      <rPr>
        <sz val="10"/>
        <rFont val="Arial"/>
        <family val="2"/>
      </rPr>
      <t>, Full Load:</t>
    </r>
  </si>
  <si>
    <t>Maximum Allowable Inductor Current Ripple:</t>
  </si>
  <si>
    <t>Actual Maximum Inductor Ripple Current:</t>
  </si>
  <si>
    <r>
      <t>I</t>
    </r>
    <r>
      <rPr>
        <vertAlign val="subscript"/>
        <sz val="10"/>
        <rFont val="Arial"/>
        <family val="2"/>
      </rPr>
      <t>RIPPLE(actual)</t>
    </r>
  </si>
  <si>
    <t>Actual Maximum Inductor Peak Current:</t>
  </si>
  <si>
    <r>
      <t>I</t>
    </r>
    <r>
      <rPr>
        <vertAlign val="subscript"/>
        <sz val="10"/>
        <rFont val="Arial"/>
        <family val="2"/>
      </rPr>
      <t>L_PEAK(actual)</t>
    </r>
  </si>
  <si>
    <t>Gate Drive Losses (actually dissipated in the gate drive circuitry):</t>
  </si>
  <si>
    <t>UVD Set Point: Typical DC Output Voltage to Trigger UVD</t>
  </si>
  <si>
    <r>
      <t>V</t>
    </r>
    <r>
      <rPr>
        <vertAlign val="subscript"/>
        <sz val="10"/>
        <rFont val="Arial"/>
        <family val="2"/>
      </rPr>
      <t>UVD</t>
    </r>
  </si>
  <si>
    <t>1. The Macros must be ENABLED.</t>
  </si>
  <si>
    <t>2. The Analysis ToolPak Add-In must be checked.</t>
  </si>
  <si>
    <t>• Select Add-Ins</t>
  </si>
  <si>
    <t>3. Enter the desired design parameters in the YELLOW shaded boxes</t>
  </si>
  <si>
    <t>• These parameters include input and output voltages, output power, desired efficiency and power factor, along with part parameters, desired current and voltage ripple factors, etc.</t>
  </si>
  <si>
    <r>
      <t>• The User must also iterarate a value for VCOMP that will result in a satisfactory M</t>
    </r>
    <r>
      <rPr>
        <vertAlign val="subscript"/>
        <sz val="20"/>
        <rFont val="Arial"/>
        <family val="2"/>
      </rPr>
      <t>1</t>
    </r>
    <r>
      <rPr>
        <sz val="20"/>
        <rFont val="Arial"/>
        <family val="2"/>
      </rPr>
      <t>M</t>
    </r>
    <r>
      <rPr>
        <vertAlign val="subscript"/>
        <sz val="20"/>
        <rFont val="Arial"/>
        <family val="2"/>
      </rPr>
      <t>2</t>
    </r>
    <r>
      <rPr>
        <sz val="20"/>
        <rFont val="Arial"/>
        <family val="2"/>
      </rPr>
      <t xml:space="preserve"> product.</t>
    </r>
  </si>
  <si>
    <t>4. The spreadsheet will calculate the ideal values and display the results in red type.</t>
  </si>
  <si>
    <t>5. Actual standard values must be entered for the spreadsheet to calculate the gain-phase plots.</t>
  </si>
  <si>
    <r>
      <t>L</t>
    </r>
    <r>
      <rPr>
        <vertAlign val="subscript"/>
        <sz val="10"/>
        <rFont val="Arial"/>
        <family val="2"/>
      </rPr>
      <t>I_ripple_factor</t>
    </r>
  </si>
  <si>
    <r>
      <t>V</t>
    </r>
    <r>
      <rPr>
        <vertAlign val="subscript"/>
        <sz val="10"/>
        <rFont val="Arial"/>
        <family val="2"/>
      </rPr>
      <t>Cin_ripple_factor</t>
    </r>
  </si>
  <si>
    <t>RECCOMMENDED BILL OF MATERIALS</t>
  </si>
  <si>
    <t>Reference Designator</t>
  </si>
  <si>
    <t>Description/Comments</t>
  </si>
  <si>
    <t>Fuse</t>
  </si>
  <si>
    <t>Bridge Rectifier</t>
  </si>
  <si>
    <t>Cin</t>
  </si>
  <si>
    <t>Value:</t>
  </si>
  <si>
    <t>Lbst</t>
  </si>
  <si>
    <t>DC Blocking Voltage:</t>
  </si>
  <si>
    <t>Inductor Value:</t>
  </si>
  <si>
    <t>Boost Diode</t>
  </si>
  <si>
    <t>Volatge Rating:</t>
  </si>
  <si>
    <t>Power Dissipation:</t>
  </si>
  <si>
    <t>Voltage Rating:</t>
  </si>
  <si>
    <t>Switch</t>
  </si>
  <si>
    <t>Rsense</t>
  </si>
  <si>
    <t>Peak Current Rating:</t>
  </si>
  <si>
    <t>Ripple Current:</t>
  </si>
  <si>
    <t>Risense</t>
  </si>
  <si>
    <t>Cisense</t>
  </si>
  <si>
    <t>Film Capacitor, X2</t>
  </si>
  <si>
    <t>RMS Drain Current Rating:</t>
  </si>
  <si>
    <t>Resistor, Chip, 1/16W</t>
  </si>
  <si>
    <t>Capacitor, Ceramic, 100V, X7R, ±10%</t>
  </si>
  <si>
    <t>Cout</t>
  </si>
  <si>
    <t xml:space="preserve">Capacitor, Aluminum, ±20% </t>
  </si>
  <si>
    <t>Rfb1</t>
  </si>
  <si>
    <t>Rfb2</t>
  </si>
  <si>
    <t>Resistor, Chip, 1/10W, ±1%</t>
  </si>
  <si>
    <t>Type:</t>
  </si>
  <si>
    <t>Fast Acting</t>
  </si>
  <si>
    <t>Cvsense</t>
  </si>
  <si>
    <t>Capacitor, Ceramic, 50V, X7R, ±10%</t>
  </si>
  <si>
    <t>Cicomp</t>
  </si>
  <si>
    <t>Cvcomp</t>
  </si>
  <si>
    <t>Capacitor, Ceramic, 10V, X5R, ±10%</t>
  </si>
  <si>
    <t>Rvcomp</t>
  </si>
  <si>
    <t>Cvcomp_p</t>
  </si>
  <si>
    <t>Rvins1</t>
  </si>
  <si>
    <t>Resistor, Chip, Total Voltage Rating 400V, ±1%</t>
  </si>
  <si>
    <t>Rvins2</t>
  </si>
  <si>
    <t>Cvins</t>
  </si>
  <si>
    <t>Capacitor, Ceramic, 10V, X5R ±10%</t>
  </si>
  <si>
    <t>VCC Bypass Capacitors:</t>
  </si>
  <si>
    <t>Ceramic, Low ESR/ESL, placed close to the VCC and GND pins with short traces</t>
  </si>
  <si>
    <t>Values:</t>
  </si>
  <si>
    <t>Current Rating:</t>
  </si>
  <si>
    <t>Average Current Rating:</t>
  </si>
  <si>
    <t>HF Ripple Current Rating:</t>
  </si>
  <si>
    <t>Resistor, Low Inductance</t>
  </si>
  <si>
    <t>MOSFET, Nchannel</t>
  </si>
  <si>
    <t>Diode, Low Reverse Recovery Charge, Schottky</t>
  </si>
  <si>
    <r>
      <t>Minimum Output Voltage with respect to V</t>
    </r>
    <r>
      <rPr>
        <vertAlign val="subscript"/>
        <sz val="10"/>
        <rFont val="Arial"/>
        <family val="2"/>
      </rPr>
      <t xml:space="preserve">REF </t>
    </r>
    <r>
      <rPr>
        <sz val="10"/>
        <rFont val="Arial"/>
        <family val="2"/>
      </rPr>
      <t xml:space="preserve">and  Resistor Tolerance </t>
    </r>
  </si>
  <si>
    <r>
      <t>Maximum Output Voltage with respect to V</t>
    </r>
    <r>
      <rPr>
        <vertAlign val="subscript"/>
        <sz val="10"/>
        <rFont val="Arial"/>
        <family val="2"/>
      </rPr>
      <t xml:space="preserve">REF </t>
    </r>
    <r>
      <rPr>
        <sz val="10"/>
        <rFont val="Arial"/>
        <family val="2"/>
      </rPr>
      <t xml:space="preserve">and  Resistor Tolerance </t>
    </r>
  </si>
  <si>
    <t>FET Fall Time:</t>
  </si>
  <si>
    <r>
      <t>t</t>
    </r>
    <r>
      <rPr>
        <vertAlign val="subscript"/>
        <sz val="10"/>
        <rFont val="Arial"/>
        <family val="2"/>
      </rPr>
      <t>f</t>
    </r>
  </si>
  <si>
    <t>Recommended Minimum Output Capacitor Value:</t>
  </si>
  <si>
    <r>
      <t>m</t>
    </r>
    <r>
      <rPr>
        <sz val="16"/>
        <rFont val="Arial"/>
        <family val="2"/>
      </rPr>
      <t>F</t>
    </r>
  </si>
  <si>
    <r>
      <t>V</t>
    </r>
    <r>
      <rPr>
        <vertAlign val="subscript"/>
        <sz val="16"/>
        <rFont val="Arial"/>
        <family val="2"/>
      </rPr>
      <t>RMS</t>
    </r>
  </si>
  <si>
    <r>
      <t>A</t>
    </r>
    <r>
      <rPr>
        <vertAlign val="subscript"/>
        <sz val="16"/>
        <rFont val="Arial"/>
        <family val="2"/>
      </rPr>
      <t>RMS</t>
    </r>
  </si>
  <si>
    <r>
      <t>M</t>
    </r>
    <r>
      <rPr>
        <sz val="16"/>
        <rFont val="Symbol"/>
        <family val="1"/>
        <charset val="2"/>
      </rPr>
      <t>W</t>
    </r>
  </si>
  <si>
    <r>
      <t>k</t>
    </r>
    <r>
      <rPr>
        <sz val="16"/>
        <rFont val="Symbol"/>
        <family val="1"/>
        <charset val="2"/>
      </rPr>
      <t>W</t>
    </r>
  </si>
  <si>
    <r>
      <t>m</t>
    </r>
    <r>
      <rPr>
        <sz val="16"/>
        <rFont val="Arial"/>
        <family val="2"/>
      </rPr>
      <t>F</t>
    </r>
  </si>
  <si>
    <r>
      <t>Output Voltage (Note: Must be &gt; V</t>
    </r>
    <r>
      <rPr>
        <vertAlign val="subscript"/>
        <sz val="10"/>
        <rFont val="Arial"/>
        <family val="2"/>
      </rPr>
      <t>IN_RECTIFIED(max)</t>
    </r>
    <r>
      <rPr>
        <sz val="10"/>
        <rFont val="Arial"/>
        <family val="2"/>
      </rPr>
      <t>):</t>
    </r>
  </si>
  <si>
    <t>UCC28019 Design Calculator</t>
  </si>
  <si>
    <t>This spreadsheet guides the User through the design process for a CONTINUOUS CONDUCTION MODE PFC BOOST converter using the UCC28019 controller.</t>
  </si>
  <si>
    <t>VCC Bias Voltage to the UCC28019:</t>
  </si>
  <si>
    <t>Typical Schematic for a PFC Continuous Conduction Mode Boost Converter Using the UCC28019</t>
  </si>
  <si>
    <r>
      <t>2 x f</t>
    </r>
    <r>
      <rPr>
        <vertAlign val="subscript"/>
        <sz val="16"/>
        <rFont val="Arial"/>
        <family val="2"/>
      </rPr>
      <t>LINE</t>
    </r>
    <r>
      <rPr>
        <sz val="16"/>
        <rFont val="Arial"/>
        <family val="2"/>
      </rPr>
      <t xml:space="preserve"> Ripple Current Rating:</t>
    </r>
  </si>
  <si>
    <t>VIN(x)</t>
  </si>
  <si>
    <t>IAVG(x)</t>
  </si>
  <si>
    <r>
      <t>UCC28019 Design Calculator:</t>
    </r>
    <r>
      <rPr>
        <b/>
        <sz val="14"/>
        <rFont val="Arial"/>
        <family val="2"/>
      </rPr>
      <t xml:space="preserve">  </t>
    </r>
    <r>
      <rPr>
        <b/>
        <sz val="12"/>
        <rFont val="Arial"/>
        <family val="2"/>
      </rPr>
      <t>This spreadsheet guides the User through the design process of a</t>
    </r>
    <r>
      <rPr>
        <b/>
        <sz val="14"/>
        <rFont val="Arial"/>
        <family val="2"/>
      </rPr>
      <t xml:space="preserve"> </t>
    </r>
    <r>
      <rPr>
        <b/>
        <sz val="20"/>
        <color indexed="10"/>
        <rFont val="Arial"/>
        <family val="2"/>
      </rPr>
      <t>CONTINUOUS CONDUCTION MODE PFC</t>
    </r>
    <r>
      <rPr>
        <b/>
        <sz val="14"/>
        <color indexed="10"/>
        <rFont val="Arial"/>
        <family val="2"/>
      </rPr>
      <t xml:space="preserve"> Boost Converter</t>
    </r>
    <r>
      <rPr>
        <b/>
        <sz val="14"/>
        <rFont val="Arial"/>
        <family val="2"/>
      </rPr>
      <t xml:space="preserve"> </t>
    </r>
    <r>
      <rPr>
        <b/>
        <sz val="12"/>
        <rFont val="Arial"/>
        <family val="2"/>
      </rPr>
      <t>using</t>
    </r>
    <r>
      <rPr>
        <b/>
        <sz val="14"/>
        <rFont val="Arial"/>
        <family val="2"/>
      </rPr>
      <t xml:space="preserve"> </t>
    </r>
    <r>
      <rPr>
        <b/>
        <sz val="12"/>
        <rFont val="Arial"/>
        <family val="2"/>
      </rPr>
      <t>the</t>
    </r>
    <r>
      <rPr>
        <b/>
        <sz val="14"/>
        <rFont val="Arial"/>
        <family val="2"/>
      </rPr>
      <t xml:space="preserve"> UCC28019 Controller</t>
    </r>
  </si>
  <si>
    <t>• This feature can be found in the Tools Menu or in Excel Options</t>
  </si>
  <si>
    <t>Input voltage at which the compensation will be optimized</t>
  </si>
  <si>
    <t>Please enter design parameters and actual standard component values used into the</t>
  </si>
  <si>
    <r>
      <t xml:space="preserve">Actual standard values used should be based upon the Calculated results which are shown in </t>
    </r>
    <r>
      <rPr>
        <b/>
        <sz val="12"/>
        <color indexed="10"/>
        <rFont val="Arial"/>
        <family val="2"/>
      </rPr>
      <t>RED</t>
    </r>
  </si>
  <si>
    <r>
      <t>Be sure to have the</t>
    </r>
    <r>
      <rPr>
        <b/>
        <sz val="14"/>
        <color indexed="10"/>
        <rFont val="Arial"/>
        <family val="2"/>
      </rPr>
      <t xml:space="preserve"> </t>
    </r>
    <r>
      <rPr>
        <b/>
        <i/>
        <sz val="14"/>
        <color indexed="10"/>
        <rFont val="Arial"/>
        <family val="2"/>
      </rPr>
      <t>Analysis ToolPak</t>
    </r>
    <r>
      <rPr>
        <b/>
        <sz val="14"/>
        <color indexed="10"/>
        <rFont val="Arial"/>
        <family val="2"/>
      </rPr>
      <t xml:space="preserve"> </t>
    </r>
    <r>
      <rPr>
        <b/>
        <sz val="14"/>
        <rFont val="Arial"/>
        <family val="2"/>
      </rPr>
      <t>activated</t>
    </r>
  </si>
  <si>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</si>
  <si>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</si>
  <si>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mV factor</t>
  </si>
  <si>
    <t>uF factor</t>
  </si>
  <si>
    <t>kHz factor</t>
  </si>
  <si>
    <t>mΩ factor</t>
  </si>
  <si>
    <t>ms factor</t>
  </si>
  <si>
    <t>mA factor</t>
  </si>
  <si>
    <t>us factor</t>
  </si>
  <si>
    <t>uH factor</t>
  </si>
  <si>
    <t>ns factor</t>
  </si>
  <si>
    <t>mW factor</t>
  </si>
  <si>
    <t>pF factor</t>
  </si>
  <si>
    <t>MHz factor</t>
  </si>
  <si>
    <t>uA factor</t>
  </si>
  <si>
    <r>
      <t>k</t>
    </r>
    <r>
      <rPr>
        <sz val="11"/>
        <color indexed="8"/>
        <rFont val="Calibri"/>
        <family val="2"/>
      </rPr>
      <t>Ω</t>
    </r>
    <r>
      <rPr>
        <sz val="11"/>
        <color indexed="8"/>
        <rFont val="Arial"/>
        <family val="2"/>
      </rPr>
      <t xml:space="preserve"> factor</t>
    </r>
  </si>
  <si>
    <t>nC factor</t>
  </si>
  <si>
    <t>nF factor</t>
  </si>
  <si>
    <t>uC factor</t>
  </si>
  <si>
    <t>MΩ factor</t>
  </si>
  <si>
    <t>mH factor</t>
  </si>
  <si>
    <r>
      <t>K</t>
    </r>
    <r>
      <rPr>
        <vertAlign val="subscript"/>
        <sz val="11"/>
        <rFont val="Arial"/>
        <family val="2"/>
      </rPr>
      <t>1</t>
    </r>
  </si>
  <si>
    <r>
      <t>K</t>
    </r>
    <r>
      <rPr>
        <vertAlign val="subscript"/>
        <sz val="11"/>
        <rFont val="Arial"/>
        <family val="2"/>
      </rPr>
      <t>FQ</t>
    </r>
  </si>
  <si>
    <r>
      <t>f</t>
    </r>
    <r>
      <rPr>
        <vertAlign val="subscript"/>
        <sz val="11"/>
        <rFont val="Arial"/>
        <family val="2"/>
      </rPr>
      <t>TYP</t>
    </r>
  </si>
  <si>
    <t>VCOMP1</t>
  </si>
  <si>
    <r>
      <t>a</t>
    </r>
    <r>
      <rPr>
        <vertAlign val="subscript"/>
        <sz val="11"/>
        <rFont val="Arial"/>
        <family val="2"/>
      </rPr>
      <t>1</t>
    </r>
  </si>
  <si>
    <r>
      <t>b</t>
    </r>
    <r>
      <rPr>
        <vertAlign val="subscript"/>
        <sz val="11"/>
        <rFont val="Arial"/>
        <family val="2"/>
      </rPr>
      <t>1</t>
    </r>
  </si>
  <si>
    <r>
      <t>c</t>
    </r>
    <r>
      <rPr>
        <vertAlign val="subscript"/>
        <sz val="11"/>
        <rFont val="Arial"/>
        <family val="2"/>
      </rPr>
      <t>1</t>
    </r>
  </si>
  <si>
    <r>
      <t>d</t>
    </r>
    <r>
      <rPr>
        <vertAlign val="subscript"/>
        <sz val="11"/>
        <rFont val="Arial"/>
        <family val="2"/>
      </rPr>
      <t>1</t>
    </r>
  </si>
  <si>
    <t>VCOMP2</t>
  </si>
  <si>
    <r>
      <t>a</t>
    </r>
    <r>
      <rPr>
        <vertAlign val="subscript"/>
        <sz val="11"/>
        <rFont val="Arial"/>
        <family val="2"/>
      </rPr>
      <t>2</t>
    </r>
  </si>
  <si>
    <r>
      <t>b</t>
    </r>
    <r>
      <rPr>
        <vertAlign val="subscript"/>
        <sz val="11"/>
        <rFont val="Arial"/>
        <family val="2"/>
      </rPr>
      <t>2</t>
    </r>
  </si>
  <si>
    <r>
      <t>c</t>
    </r>
    <r>
      <rPr>
        <vertAlign val="subscript"/>
        <sz val="11"/>
        <rFont val="Arial"/>
        <family val="2"/>
      </rPr>
      <t>2</t>
    </r>
  </si>
  <si>
    <r>
      <t>d</t>
    </r>
    <r>
      <rPr>
        <vertAlign val="subscript"/>
        <sz val="11"/>
        <rFont val="Arial"/>
        <family val="2"/>
      </rPr>
      <t>2</t>
    </r>
  </si>
  <si>
    <t>VCOMP3</t>
  </si>
  <si>
    <r>
      <t>a</t>
    </r>
    <r>
      <rPr>
        <vertAlign val="subscript"/>
        <sz val="11"/>
        <rFont val="Arial"/>
        <family val="2"/>
      </rPr>
      <t>3</t>
    </r>
  </si>
  <si>
    <r>
      <t>b</t>
    </r>
    <r>
      <rPr>
        <vertAlign val="subscript"/>
        <sz val="11"/>
        <rFont val="Arial"/>
        <family val="2"/>
      </rPr>
      <t>3</t>
    </r>
  </si>
  <si>
    <t>VCOMP4</t>
  </si>
  <si>
    <r>
      <t>f</t>
    </r>
    <r>
      <rPr>
        <vertAlign val="subscript"/>
        <sz val="10"/>
        <rFont val="Arial"/>
        <family val="2"/>
      </rPr>
      <t>SW</t>
    </r>
  </si>
  <si>
    <r>
      <t>V</t>
    </r>
    <r>
      <rPr>
        <vertAlign val="subscript"/>
        <sz val="10"/>
        <rFont val="Arial"/>
        <family val="2"/>
      </rPr>
      <t>ISENSE_SOC</t>
    </r>
  </si>
  <si>
    <r>
      <t>V</t>
    </r>
    <r>
      <rPr>
        <vertAlign val="subscript"/>
        <sz val="10"/>
        <rFont val="Arial"/>
        <family val="2"/>
      </rPr>
      <t>PCLmax</t>
    </r>
  </si>
  <si>
    <t>Vref</t>
  </si>
  <si>
    <t>Vref_ovp</t>
  </si>
  <si>
    <t>Vref_uvd</t>
  </si>
  <si>
    <r>
      <t>t</t>
    </r>
    <r>
      <rPr>
        <vertAlign val="subscript"/>
        <sz val="10"/>
        <rFont val="Arial"/>
        <family val="2"/>
      </rPr>
      <t>RFB2Cvsense</t>
    </r>
  </si>
  <si>
    <t>uS factor</t>
  </si>
  <si>
    <t>mS factor</t>
  </si>
  <si>
    <r>
      <t>g</t>
    </r>
    <r>
      <rPr>
        <vertAlign val="subscript"/>
        <sz val="11"/>
        <rFont val="Arial"/>
        <family val="2"/>
      </rPr>
      <t>mv</t>
    </r>
  </si>
  <si>
    <r>
      <t>g</t>
    </r>
    <r>
      <rPr>
        <vertAlign val="subscript"/>
        <sz val="10"/>
        <rFont val="Arial"/>
        <family val="2"/>
      </rPr>
      <t>mi</t>
    </r>
  </si>
  <si>
    <r>
      <t>V</t>
    </r>
    <r>
      <rPr>
        <vertAlign val="subscript"/>
        <sz val="10"/>
        <rFont val="Arial"/>
        <family val="2"/>
      </rPr>
      <t>INS_ENmax</t>
    </r>
  </si>
  <si>
    <t>uA</t>
  </si>
  <si>
    <r>
      <t>I</t>
    </r>
    <r>
      <rPr>
        <vertAlign val="subscript"/>
        <sz val="10"/>
        <rFont val="Arial"/>
        <family val="2"/>
      </rPr>
      <t>VINS</t>
    </r>
  </si>
  <si>
    <t>OVP Set Point: Maximum DC Output Voltage to Trigger OVP</t>
  </si>
  <si>
    <r>
      <t>V</t>
    </r>
    <r>
      <rPr>
        <vertAlign val="subscript"/>
        <sz val="10"/>
        <rFont val="Arial"/>
        <family val="2"/>
      </rPr>
      <t>OVP(max)</t>
    </r>
  </si>
  <si>
    <t>Vref_ovp_max</t>
  </si>
  <si>
    <t>Vref_ovp_min</t>
  </si>
  <si>
    <t>OVP Set Point: Minimum DC Output Voltage to Trigger OVP</t>
  </si>
  <si>
    <r>
      <t>V</t>
    </r>
    <r>
      <rPr>
        <vertAlign val="subscript"/>
        <sz val="10"/>
        <rFont val="Arial"/>
        <family val="2"/>
      </rPr>
      <t>OVP(min)</t>
    </r>
  </si>
  <si>
    <t>Vref_uvd_max</t>
  </si>
  <si>
    <t>Vref_uvd_min</t>
  </si>
  <si>
    <t>UVD Set Point: Maximum DC Output Voltage to Trigger UVD</t>
  </si>
  <si>
    <r>
      <t>V</t>
    </r>
    <r>
      <rPr>
        <vertAlign val="subscript"/>
        <sz val="10"/>
        <rFont val="Arial"/>
        <family val="2"/>
      </rPr>
      <t>OUT(min)</t>
    </r>
  </si>
  <si>
    <r>
      <t>V</t>
    </r>
    <r>
      <rPr>
        <vertAlign val="subscript"/>
        <sz val="10"/>
        <rFont val="Arial"/>
        <family val="2"/>
      </rPr>
      <t>OUT(max)</t>
    </r>
  </si>
  <si>
    <r>
      <t>V</t>
    </r>
    <r>
      <rPr>
        <vertAlign val="subscript"/>
        <sz val="10"/>
        <rFont val="Arial"/>
        <family val="2"/>
      </rPr>
      <t>UVD(max)</t>
    </r>
  </si>
  <si>
    <r>
      <t>V</t>
    </r>
    <r>
      <rPr>
        <vertAlign val="subscript"/>
        <sz val="10"/>
        <rFont val="Arial"/>
        <family val="2"/>
      </rPr>
      <t>UVD(min)</t>
    </r>
  </si>
  <si>
    <t>UVD Set Point: Minimum DC Output Voltage to Trigger UVD</t>
  </si>
  <si>
    <r>
      <t>e</t>
    </r>
    <r>
      <rPr>
        <vertAlign val="subscript"/>
        <sz val="11"/>
        <rFont val="Arial"/>
        <family val="2"/>
      </rPr>
      <t>1</t>
    </r>
  </si>
  <si>
    <r>
      <t>f</t>
    </r>
    <r>
      <rPr>
        <vertAlign val="subscript"/>
        <sz val="11"/>
        <rFont val="Arial"/>
        <family val="2"/>
      </rPr>
      <t>1</t>
    </r>
  </si>
  <si>
    <r>
      <t>g</t>
    </r>
    <r>
      <rPr>
        <vertAlign val="subscript"/>
        <sz val="11"/>
        <rFont val="Arial"/>
        <family val="2"/>
      </rPr>
      <t>1</t>
    </r>
  </si>
  <si>
    <r>
      <t>e</t>
    </r>
    <r>
      <rPr>
        <vertAlign val="subscript"/>
        <sz val="11"/>
        <rFont val="Arial"/>
        <family val="2"/>
      </rPr>
      <t>2</t>
    </r>
  </si>
  <si>
    <r>
      <t>f</t>
    </r>
    <r>
      <rPr>
        <vertAlign val="subscript"/>
        <sz val="11"/>
        <rFont val="Arial"/>
        <family val="2"/>
      </rPr>
      <t>2</t>
    </r>
  </si>
  <si>
    <r>
      <t>g</t>
    </r>
    <r>
      <rPr>
        <vertAlign val="subscript"/>
        <sz val="11"/>
        <rFont val="Arial"/>
        <family val="2"/>
      </rPr>
      <t>2</t>
    </r>
  </si>
  <si>
    <t>Product of the Voltage Loop Variables, Nominal Line Voltage, Full Load:</t>
  </si>
  <si>
    <t>VCOMP at Nominal Line Voltage, Full Load:</t>
  </si>
  <si>
    <r>
      <t>I</t>
    </r>
    <r>
      <rPr>
        <vertAlign val="subscript"/>
        <sz val="10"/>
        <rFont val="Arial"/>
        <family val="2"/>
      </rPr>
      <t>ISENSE</t>
    </r>
  </si>
  <si>
    <r>
      <t>Non-Linear Gain Voltage Loop Variable M</t>
    </r>
    <r>
      <rPr>
        <vertAlign val="subscript"/>
        <sz val="10"/>
        <rFont val="Arial"/>
        <family val="2"/>
      </rPr>
      <t>3</t>
    </r>
  </si>
  <si>
    <r>
      <t>M</t>
    </r>
    <r>
      <rPr>
        <vertAlign val="subscript"/>
        <sz val="10"/>
        <rFont val="Arial"/>
        <family val="2"/>
      </rPr>
      <t>3</t>
    </r>
  </si>
  <si>
    <r>
      <t>V</t>
    </r>
    <r>
      <rPr>
        <vertAlign val="subscript"/>
        <sz val="10"/>
        <rFont val="Arial"/>
        <family val="2"/>
      </rPr>
      <t>INS_ENnom</t>
    </r>
  </si>
  <si>
    <r>
      <t>V</t>
    </r>
    <r>
      <rPr>
        <vertAlign val="subscript"/>
        <sz val="10"/>
        <rFont val="Arial"/>
        <family val="2"/>
      </rPr>
      <t>INS_ENmin</t>
    </r>
  </si>
  <si>
    <r>
      <t>V</t>
    </r>
    <r>
      <rPr>
        <vertAlign val="subscript"/>
        <sz val="10"/>
        <rFont val="Arial"/>
        <family val="2"/>
      </rPr>
      <t>INS_brnmin</t>
    </r>
  </si>
  <si>
    <r>
      <t>V</t>
    </r>
    <r>
      <rPr>
        <vertAlign val="subscript"/>
        <sz val="10"/>
        <rFont val="Arial"/>
        <family val="2"/>
      </rPr>
      <t>INS_brnmax</t>
    </r>
  </si>
  <si>
    <r>
      <t>V</t>
    </r>
    <r>
      <rPr>
        <vertAlign val="subscript"/>
        <sz val="10"/>
        <rFont val="Arial"/>
        <family val="2"/>
      </rPr>
      <t>INS_brnnom</t>
    </r>
  </si>
  <si>
    <t>Actual Maximum AC Line Voltage Turn-On Threshold:</t>
  </si>
  <si>
    <t>Actual Nominal AC Line Voltage Turn-On Threshold:</t>
  </si>
  <si>
    <t>Actual Minimum AC Line Voltage Turn-On Threshold:</t>
  </si>
  <si>
    <r>
      <t>V</t>
    </r>
    <r>
      <rPr>
        <vertAlign val="subscript"/>
        <sz val="10"/>
        <rFont val="Arial"/>
        <family val="2"/>
      </rPr>
      <t>AC(on)nom(actual)</t>
    </r>
  </si>
  <si>
    <r>
      <t>V</t>
    </r>
    <r>
      <rPr>
        <vertAlign val="subscript"/>
        <sz val="10"/>
        <rFont val="Arial"/>
        <family val="2"/>
      </rPr>
      <t>AC(on)max(actual)</t>
    </r>
  </si>
  <si>
    <r>
      <t>V</t>
    </r>
    <r>
      <rPr>
        <vertAlign val="subscript"/>
        <sz val="10"/>
        <rFont val="Arial"/>
        <family val="2"/>
      </rPr>
      <t>AC(on)min(actual)</t>
    </r>
  </si>
  <si>
    <t>TURN-ON THRESHOLD:</t>
  </si>
  <si>
    <t>Hold-up?</t>
  </si>
  <si>
    <t>NO</t>
  </si>
  <si>
    <t>Is Input Hold-Up Required for Line-Dropout Conditions?</t>
  </si>
  <si>
    <r>
      <t>t</t>
    </r>
    <r>
      <rPr>
        <vertAlign val="subscript"/>
        <sz val="10"/>
        <rFont val="Arial"/>
        <family val="2"/>
      </rPr>
      <t>INPUT_HOLDUP</t>
    </r>
  </si>
  <si>
    <t>AC Line Voltage Turn-Off Threshold:</t>
  </si>
  <si>
    <r>
      <t>V</t>
    </r>
    <r>
      <rPr>
        <vertAlign val="subscript"/>
        <sz val="10"/>
        <rFont val="Arial"/>
        <family val="2"/>
      </rPr>
      <t>AC(off)</t>
    </r>
  </si>
  <si>
    <r>
      <t>N</t>
    </r>
    <r>
      <rPr>
        <vertAlign val="subscript"/>
        <sz val="10"/>
        <rFont val="Arial"/>
        <family val="2"/>
      </rPr>
      <t>DROPOUT_HOLDUP</t>
    </r>
  </si>
  <si>
    <r>
      <t>Desired Number of Half Line Cycles For Line-Drop-Out (N</t>
    </r>
    <r>
      <rPr>
        <vertAlign val="subscript"/>
        <sz val="10"/>
        <rFont val="Arial"/>
        <family val="2"/>
      </rPr>
      <t>DROPOUT_HOLDUP</t>
    </r>
    <r>
      <rPr>
        <sz val="10"/>
        <rFont val="Arial"/>
        <family val="2"/>
      </rPr>
      <t xml:space="preserve"> &gt; 2*N</t>
    </r>
    <r>
      <rPr>
        <vertAlign val="subscript"/>
        <sz val="10"/>
        <rFont val="Arial"/>
        <family val="2"/>
      </rPr>
      <t>HOLD_UP</t>
    </r>
    <r>
      <rPr>
        <sz val="10"/>
        <rFont val="Arial"/>
        <family val="2"/>
      </rPr>
      <t>)</t>
    </r>
  </si>
  <si>
    <t>Actual Nominal AC Line Voltage Turn-Off Threshold During Line Drop-Out:</t>
  </si>
  <si>
    <r>
      <t>V</t>
    </r>
    <r>
      <rPr>
        <vertAlign val="subscript"/>
        <sz val="10"/>
        <rFont val="Arial"/>
        <family val="2"/>
      </rPr>
      <t>AC(off)actual(nom)</t>
    </r>
  </si>
  <si>
    <t>Actual Maximum AC Line Voltage Turn-Off Threshold During Line Drop-Out:</t>
  </si>
  <si>
    <t>Actual Minimum AC Line Voltage Turn-Off Threshold During Line Drop-Out:</t>
  </si>
  <si>
    <r>
      <t>V</t>
    </r>
    <r>
      <rPr>
        <vertAlign val="subscript"/>
        <sz val="10"/>
        <rFont val="Arial"/>
        <family val="2"/>
      </rPr>
      <t>AC(off)actual(max)</t>
    </r>
  </si>
  <si>
    <r>
      <t>V</t>
    </r>
    <r>
      <rPr>
        <vertAlign val="subscript"/>
        <sz val="10"/>
        <rFont val="Arial"/>
        <family val="2"/>
      </rPr>
      <t>AC(off)actual(min)</t>
    </r>
  </si>
  <si>
    <r>
      <t>V</t>
    </r>
    <r>
      <rPr>
        <vertAlign val="subscript"/>
        <sz val="10"/>
        <rFont val="Arial"/>
        <family val="2"/>
      </rPr>
      <t>AC(off)actual(nom)_DROPOUT</t>
    </r>
  </si>
  <si>
    <r>
      <t>V</t>
    </r>
    <r>
      <rPr>
        <vertAlign val="subscript"/>
        <sz val="10"/>
        <rFont val="Arial"/>
        <family val="2"/>
      </rPr>
      <t>AC(off)actual(max)_DROPOUT</t>
    </r>
  </si>
  <si>
    <r>
      <t>V</t>
    </r>
    <r>
      <rPr>
        <vertAlign val="subscript"/>
        <sz val="10"/>
        <rFont val="Arial"/>
        <family val="2"/>
      </rPr>
      <t>AC(off)actual(min)_DROPOUT</t>
    </r>
  </si>
  <si>
    <t>Hold-Up Time:</t>
  </si>
  <si>
    <t>Required VINS Capacitor:</t>
  </si>
  <si>
    <t>Actual Nominal AC Line Voltage Turn-Off Threshold, Brown-Out, Full Load:</t>
  </si>
  <si>
    <t>Actual Maximum AC Line Voltage Turn-Off  Threshold, Brown-Out, Full Load:</t>
  </si>
  <si>
    <t>Actual Minimum AC Line Voltage Turn-Off  Threshold, Brown-Out, Full Load:</t>
  </si>
  <si>
    <r>
      <t>C</t>
    </r>
    <r>
      <rPr>
        <vertAlign val="subscript"/>
        <sz val="10"/>
        <rFont val="Arial"/>
        <family val="2"/>
      </rPr>
      <t>VINS_HU(actual)</t>
    </r>
  </si>
  <si>
    <t>Actual VINS Capacitor Used:</t>
  </si>
  <si>
    <r>
      <t>Actual Value for R</t>
    </r>
    <r>
      <rPr>
        <vertAlign val="subscript"/>
        <sz val="10"/>
        <rFont val="Arial"/>
        <family val="2"/>
      </rPr>
      <t>ISENSE</t>
    </r>
    <r>
      <rPr>
        <sz val="10"/>
        <rFont val="Arial"/>
        <family val="2"/>
      </rPr>
      <t>:</t>
    </r>
  </si>
  <si>
    <r>
      <t>R</t>
    </r>
    <r>
      <rPr>
        <vertAlign val="subscript"/>
        <sz val="10"/>
        <rFont val="Arial"/>
        <family val="2"/>
      </rPr>
      <t>ISENSE(actual)</t>
    </r>
  </si>
  <si>
    <t>algebraic manipulation to determine constants in each region, refer to original MathCAD file</t>
  </si>
  <si>
    <t>TI Literature Number: SLUC069  Rev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</si>
</sst>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E+00"/>
  </numFmts>
  <fonts count="45" x14ac:knownFonts="1">
    <font>
      <sz val="10"/>
      <name val="Arial"/>
    </font>
    <font>
      <sz val="10"/>
      <name val="Arial"/>
      <family val="2"/>
    </font>
    <font>
      <vertAlign val="subscript"/>
      <sz val="10"/>
      <name val="Arial"/>
      <family val="2"/>
    </font>
    <font>
      <sz val="10"/>
      <color indexed="10"/>
      <name val="Arial"/>
      <family val="2"/>
    </font>
    <font>
      <b/>
      <sz val="14"/>
      <name val="Arial"/>
      <family val="2"/>
    </font>
    <font>
      <b/>
      <sz val="12"/>
      <name val="Arial"/>
      <family val="2"/>
    </font>
    <font>
      <sz val="8"/>
      <name val="Arial"/>
      <family val="2"/>
    </font>
    <font>
      <sz val="10"/>
      <name val="Symbol"/>
      <family val="1"/>
      <charset val="2"/>
    </font>
    <font>
      <b/>
      <sz val="12"/>
      <name val="Arial"/>
      <family val="2"/>
    </font>
    <font>
      <b/>
      <sz val="12"/>
      <color indexed="10"/>
      <name val="Arial"/>
      <family val="2"/>
    </font>
    <font>
      <vertAlign val="subscript"/>
      <sz val="10"/>
      <name val="Symbol"/>
      <family val="1"/>
      <charset val="2"/>
    </font>
    <font>
      <sz val="10"/>
      <name val="Arial"/>
      <family val="2"/>
    </font>
    <font>
      <sz val="12"/>
      <name val="Arial"/>
      <family val="2"/>
    </font>
    <font>
      <b/>
      <sz val="10"/>
      <name val="Arial"/>
      <family val="2"/>
    </font>
    <font>
      <b/>
      <vertAlign val="subscript"/>
      <sz val="10"/>
      <name val="Arial"/>
      <family val="2"/>
    </font>
    <font>
      <sz val="10"/>
      <color indexed="10"/>
      <name val="Arial"/>
      <family val="2"/>
    </font>
    <font>
      <b/>
      <sz val="11"/>
      <name val="Arial"/>
      <family val="2"/>
    </font>
    <font>
      <b/>
      <sz val="10"/>
      <color indexed="10"/>
      <name val="Arial"/>
      <family val="2"/>
    </font>
    <font>
      <b/>
      <sz val="14"/>
      <color indexed="10"/>
      <name val="Arial"/>
      <family val="2"/>
    </font>
    <font>
      <b/>
      <sz val="20"/>
      <color indexed="10"/>
      <name val="Arial"/>
      <family val="2"/>
    </font>
    <font>
      <b/>
      <sz val="10"/>
      <name val="Symbol"/>
      <family val="1"/>
      <charset val="2"/>
    </font>
    <font>
      <b/>
      <sz val="10"/>
      <name val="Arial"/>
      <family val="2"/>
    </font>
    <font>
      <b/>
      <sz val="26"/>
      <color indexed="10"/>
      <name val="Arial"/>
      <family val="2"/>
    </font>
    <font>
      <sz val="20"/>
      <name val="Arial"/>
      <family val="2"/>
    </font>
    <font>
      <vertAlign val="subscript"/>
      <sz val="20"/>
      <name val="Arial"/>
      <family val="2"/>
    </font>
    <font>
      <b/>
      <sz val="16"/>
      <name val="Arial"/>
      <family val="2"/>
    </font>
    <font>
      <b/>
      <sz val="14"/>
      <name val="Arial"/>
      <family val="2"/>
    </font>
    <font>
      <b/>
      <i/>
      <sz val="14"/>
      <color indexed="10"/>
      <name val="Arial"/>
      <family val="2"/>
    </font>
    <font>
      <sz val="16"/>
      <color indexed="10"/>
      <name val="Arial"/>
      <family val="2"/>
    </font>
    <font>
      <sz val="16"/>
      <name val="Arial"/>
      <family val="2"/>
    </font>
    <font>
      <sz val="16"/>
      <name val="Symbol"/>
      <family val="1"/>
      <charset val="2"/>
    </font>
    <font>
      <sz val="16"/>
      <name val="Arial"/>
      <family val="2"/>
    </font>
    <font>
      <vertAlign val="subscript"/>
      <sz val="16"/>
      <name val="Arial"/>
      <family val="2"/>
    </font>
    <font>
      <sz val="10"/>
      <color rgb="FFFF0000"/>
      <name val="Arial"/>
      <family val="2"/>
    </font>
    <font>
      <sz val="10"/>
      <color rgb="FFFF0000"/>
      <name val="Symbol"/>
      <family val="1"/>
      <charset val="2"/>
    </font>
    <font>
      <sz val="20"/>
      <name val="Arial"/>
      <family val="2"/>
    </font>
    <font>
      <b/>
      <sz val="10"/>
      <color rgb="FFFF0000"/>
      <name val="Arial"/>
      <family val="2"/>
    </font>
    <font>
      <b/>
      <sz val="18"/>
      <name val="Arial"/>
      <family val="2"/>
    </font>
    <font>
      <sz val="18"/>
      <name val="Arial"/>
      <family val="2"/>
    </font>
    <font>
      <sz val="11"/>
      <name val="Arial"/>
      <family val="2"/>
    </font>
    <font>
      <sz val="11"/>
      <color theme="1"/>
      <name val="Arial"/>
      <family val="2"/>
    </font>
    <font>
      <sz val="11"/>
      <color indexed="8"/>
      <name val="Calibri"/>
      <family val="2"/>
    </font>
    <font>
      <sz val="11"/>
      <color indexed="8"/>
      <name val="Arial"/>
      <family val="2"/>
    </font>
    <font>
      <vertAlign val="subscript"/>
      <sz val="11"/>
      <name val="Arial"/>
      <family val="2"/>
    </font>
    <font>
      <b/>
      <sz val="12"/>
      <color rgb="FFFF0000"/>
      <name val="Arial"/>
      <family val="2"/>
    </font>
  </fonts>
  <fills count="6">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13">
    <xf numFmtId="0" fontId="0" fillId="0" borderId="0" xfId="0"/>
    <xf numFmtId="0" fontId="0" fillId="2" borderId="1" xfId="0"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 fontId="1" fillId="2" borderId="1" xfId="0" applyNumberFormat="1" applyFont="1" applyFill="1" applyBorder="1" applyAlignment="1" applyProtection="1">
      <alignment vertical="center"/>
      <protection locked="0"/>
    </xf>
    <xf numFmtId="0" fontId="0" fillId="2" borderId="2" xfId="0"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0" fillId="0" borderId="0" xfId="0" applyAlignment="1" applyProtection="1">
      <alignment vertical="center"/>
    </xf>
    <xf numFmtId="0" fontId="0" fillId="0" borderId="3" xfId="0" applyBorder="1" applyAlignment="1" applyProtection="1">
      <alignment vertical="center"/>
    </xf>
    <xf numFmtId="0" fontId="0" fillId="0" borderId="1" xfId="0" applyBorder="1" applyAlignment="1" applyProtection="1">
      <alignment vertical="center"/>
    </xf>
    <xf numFmtId="0" fontId="0" fillId="0" borderId="4" xfId="0" applyBorder="1" applyAlignment="1" applyProtection="1">
      <alignment vertical="center"/>
    </xf>
    <xf numFmtId="0" fontId="7" fillId="0" borderId="1" xfId="0" applyFont="1" applyBorder="1" applyAlignment="1" applyProtection="1">
      <alignment vertical="center"/>
    </xf>
    <xf numFmtId="0" fontId="0" fillId="0" borderId="3" xfId="0" applyFill="1" applyBorder="1" applyAlignment="1" applyProtection="1">
      <alignment vertical="center"/>
    </xf>
    <xf numFmtId="0" fontId="0" fillId="0" borderId="1" xfId="0" applyFill="1" applyBorder="1" applyAlignment="1" applyProtection="1">
      <alignment vertical="center"/>
    </xf>
    <xf numFmtId="0" fontId="7" fillId="0" borderId="4" xfId="0"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164" fontId="3" fillId="0" borderId="6" xfId="0" applyNumberFormat="1" applyFont="1" applyFill="1" applyBorder="1" applyAlignment="1" applyProtection="1">
      <alignment vertical="center"/>
    </xf>
    <xf numFmtId="0" fontId="0" fillId="0" borderId="7" xfId="0" applyBorder="1" applyAlignment="1" applyProtection="1">
      <alignment vertical="center"/>
    </xf>
    <xf numFmtId="164" fontId="3" fillId="0" borderId="1" xfId="0" applyNumberFormat="1" applyFont="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0" fontId="0" fillId="0" borderId="7" xfId="0" applyFill="1" applyBorder="1" applyAlignment="1" applyProtection="1">
      <alignment vertical="center"/>
    </xf>
    <xf numFmtId="0" fontId="0" fillId="0" borderId="0" xfId="0" applyBorder="1" applyAlignment="1" applyProtection="1">
      <alignment vertical="center"/>
    </xf>
    <xf numFmtId="0" fontId="0" fillId="0" borderId="4" xfId="0" applyFill="1" applyBorder="1" applyAlignment="1" applyProtection="1">
      <alignment vertical="center"/>
    </xf>
    <xf numFmtId="164" fontId="3" fillId="0" borderId="6" xfId="0" applyNumberFormat="1" applyFont="1" applyBorder="1" applyAlignment="1" applyProtection="1">
      <alignment vertical="center"/>
    </xf>
    <xf numFmtId="0" fontId="7" fillId="0" borderId="7" xfId="0" applyFont="1" applyBorder="1" applyAlignment="1" applyProtection="1">
      <alignment vertical="center"/>
    </xf>
    <xf numFmtId="0" fontId="11" fillId="0" borderId="1" xfId="0" applyFont="1" applyBorder="1" applyAlignment="1" applyProtection="1">
      <alignment vertical="center"/>
    </xf>
    <xf numFmtId="0" fontId="13" fillId="0" borderId="5" xfId="0" applyFont="1" applyBorder="1" applyAlignment="1" applyProtection="1">
      <alignment vertical="center"/>
    </xf>
    <xf numFmtId="0" fontId="13" fillId="0" borderId="6" xfId="0" applyFont="1" applyBorder="1" applyAlignment="1" applyProtection="1">
      <alignment horizontal="left" vertical="center"/>
    </xf>
    <xf numFmtId="164" fontId="17" fillId="0" borderId="6" xfId="0" applyNumberFormat="1" applyFont="1" applyBorder="1" applyAlignment="1" applyProtection="1">
      <alignment vertical="center"/>
    </xf>
    <xf numFmtId="0" fontId="20" fillId="0" borderId="7" xfId="0" applyFont="1" applyBorder="1" applyAlignment="1" applyProtection="1">
      <alignment vertical="center"/>
    </xf>
    <xf numFmtId="0" fontId="13" fillId="0" borderId="3" xfId="0" applyFont="1" applyBorder="1" applyAlignment="1" applyProtection="1">
      <alignment vertical="center"/>
    </xf>
    <xf numFmtId="0" fontId="13" fillId="0" borderId="1" xfId="0" applyFont="1" applyBorder="1" applyAlignment="1" applyProtection="1">
      <alignment vertical="center"/>
    </xf>
    <xf numFmtId="164" fontId="17" fillId="0" borderId="1" xfId="0" applyNumberFormat="1" applyFont="1" applyBorder="1" applyAlignment="1" applyProtection="1">
      <alignment vertical="center"/>
    </xf>
    <xf numFmtId="0" fontId="13" fillId="0" borderId="4" xfId="0" applyFont="1" applyBorder="1" applyAlignment="1" applyProtection="1">
      <alignment vertical="center"/>
    </xf>
    <xf numFmtId="0" fontId="3" fillId="0" borderId="1" xfId="0" applyFont="1" applyBorder="1" applyAlignment="1" applyProtection="1">
      <alignment vertical="center"/>
    </xf>
    <xf numFmtId="0" fontId="20" fillId="0" borderId="4" xfId="0" applyFont="1" applyBorder="1" applyAlignment="1" applyProtection="1">
      <alignment vertical="center"/>
    </xf>
    <xf numFmtId="0" fontId="13" fillId="0" borderId="6" xfId="0" applyFont="1" applyBorder="1" applyAlignment="1" applyProtection="1">
      <alignment vertical="center"/>
    </xf>
    <xf numFmtId="1" fontId="17" fillId="0" borderId="6" xfId="0" applyNumberFormat="1" applyFont="1" applyBorder="1" applyAlignment="1" applyProtection="1">
      <alignment vertical="center"/>
    </xf>
    <xf numFmtId="0" fontId="13" fillId="0" borderId="7" xfId="0" applyFont="1" applyBorder="1" applyAlignment="1" applyProtection="1">
      <alignment vertical="center"/>
    </xf>
    <xf numFmtId="0" fontId="0" fillId="0" borderId="0" xfId="0" applyProtection="1"/>
    <xf numFmtId="164" fontId="3" fillId="0" borderId="1" xfId="0" applyNumberFormat="1" applyFont="1" applyFill="1" applyBorder="1" applyAlignment="1" applyProtection="1">
      <alignment vertical="center"/>
    </xf>
    <xf numFmtId="0" fontId="17" fillId="0" borderId="1" xfId="0" applyFont="1" applyBorder="1" applyAlignment="1" applyProtection="1">
      <alignment vertical="center"/>
    </xf>
    <xf numFmtId="0" fontId="21" fillId="0" borderId="4" xfId="0" applyFont="1" applyBorder="1" applyAlignment="1" applyProtection="1">
      <alignment vertical="center"/>
    </xf>
    <xf numFmtId="0" fontId="0" fillId="0" borderId="8" xfId="0" applyBorder="1" applyAlignment="1" applyProtection="1">
      <alignment vertical="center"/>
    </xf>
    <xf numFmtId="0" fontId="11" fillId="0" borderId="0" xfId="0" applyFont="1" applyBorder="1" applyAlignment="1" applyProtection="1">
      <alignment vertical="center"/>
    </xf>
    <xf numFmtId="0" fontId="0" fillId="0" borderId="9" xfId="0" applyBorder="1" applyAlignment="1" applyProtection="1">
      <alignment horizontal="lef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164" fontId="15" fillId="0" borderId="6" xfId="0" applyNumberFormat="1" applyFont="1" applyBorder="1" applyAlignment="1" applyProtection="1">
      <alignment vertical="center"/>
    </xf>
    <xf numFmtId="0" fontId="11" fillId="0" borderId="7" xfId="0" applyFont="1" applyBorder="1" applyAlignment="1" applyProtection="1">
      <alignment vertical="center"/>
    </xf>
    <xf numFmtId="0" fontId="11" fillId="0" borderId="4" xfId="0" applyFont="1" applyBorder="1" applyAlignment="1" applyProtection="1">
      <alignment horizontal="left" vertical="center"/>
    </xf>
    <xf numFmtId="0" fontId="0" fillId="0" borderId="10" xfId="0" applyBorder="1" applyAlignment="1" applyProtection="1">
      <alignment vertical="center"/>
    </xf>
    <xf numFmtId="0" fontId="11" fillId="0" borderId="3" xfId="0" applyFont="1" applyBorder="1" applyAlignment="1" applyProtection="1">
      <alignment vertical="center"/>
    </xf>
    <xf numFmtId="164" fontId="15" fillId="0" borderId="1" xfId="0" applyNumberFormat="1" applyFont="1" applyBorder="1" applyAlignment="1" applyProtection="1">
      <alignment horizontal="right" vertical="center" shrinkToFit="1"/>
    </xf>
    <xf numFmtId="164" fontId="15" fillId="0" borderId="4" xfId="0" applyNumberFormat="1" applyFont="1" applyBorder="1" applyAlignment="1" applyProtection="1">
      <alignment horizontal="center" vertical="center"/>
    </xf>
    <xf numFmtId="164" fontId="15" fillId="0" borderId="1" xfId="0" applyNumberFormat="1" applyFont="1" applyBorder="1" applyAlignment="1" applyProtection="1">
      <alignment horizontal="right" vertical="center"/>
    </xf>
    <xf numFmtId="0" fontId="11" fillId="0" borderId="4" xfId="0" applyFont="1" applyBorder="1" applyAlignment="1" applyProtection="1">
      <alignment vertical="center"/>
    </xf>
    <xf numFmtId="164" fontId="17" fillId="0" borderId="1" xfId="0" applyNumberFormat="1" applyFont="1" applyBorder="1" applyAlignment="1" applyProtection="1">
      <alignment horizontal="right" vertical="center" shrinkToFit="1"/>
    </xf>
    <xf numFmtId="0" fontId="1" fillId="0" borderId="4" xfId="0" applyFont="1" applyBorder="1" applyAlignment="1" applyProtection="1">
      <alignment vertical="center"/>
    </xf>
    <xf numFmtId="164" fontId="17" fillId="0" borderId="1" xfId="0" applyNumberFormat="1" applyFont="1" applyBorder="1" applyAlignment="1" applyProtection="1">
      <alignment horizontal="right" vertical="center"/>
    </xf>
    <xf numFmtId="164" fontId="15" fillId="2" borderId="1" xfId="0" applyNumberFormat="1" applyFont="1" applyFill="1" applyBorder="1" applyAlignment="1" applyProtection="1">
      <alignment horizontal="right" vertical="center"/>
      <protection locked="0"/>
    </xf>
    <xf numFmtId="0" fontId="1" fillId="0" borderId="0" xfId="0" applyFont="1" applyBorder="1" applyAlignment="1" applyProtection="1">
      <alignment vertical="center"/>
      <protection hidden="1"/>
    </xf>
    <xf numFmtId="0" fontId="3" fillId="0" borderId="1" xfId="0" applyFont="1" applyFill="1" applyBorder="1" applyAlignment="1" applyProtection="1">
      <alignment vertical="center"/>
    </xf>
    <xf numFmtId="164" fontId="1" fillId="0" borderId="0" xfId="0" applyNumberFormat="1" applyFont="1" applyBorder="1" applyAlignment="1" applyProtection="1">
      <alignment horizontal="right" vertical="center" shrinkToFit="1"/>
      <protection hidden="1"/>
    </xf>
    <xf numFmtId="0" fontId="0" fillId="0" borderId="8" xfId="0" applyBorder="1" applyProtection="1"/>
    <xf numFmtId="0" fontId="0" fillId="0" borderId="0" xfId="0" applyBorder="1" applyProtection="1"/>
    <xf numFmtId="0" fontId="0" fillId="0" borderId="10" xfId="0" applyBorder="1" applyProtection="1"/>
    <xf numFmtId="0" fontId="12" fillId="0" borderId="10" xfId="0" applyFont="1" applyBorder="1" applyAlignment="1" applyProtection="1">
      <alignment horizontal="left" vertical="center"/>
    </xf>
    <xf numFmtId="164" fontId="0" fillId="0" borderId="0" xfId="0" applyNumberFormat="1" applyAlignment="1" applyProtection="1">
      <alignment vertical="center"/>
    </xf>
    <xf numFmtId="0" fontId="11" fillId="0" borderId="8" xfId="0" applyFont="1" applyBorder="1" applyAlignment="1" applyProtection="1">
      <alignment vertical="center"/>
    </xf>
    <xf numFmtId="0" fontId="11" fillId="0" borderId="10" xfId="0" applyFont="1" applyBorder="1" applyAlignment="1" applyProtection="1">
      <alignment vertical="center"/>
    </xf>
    <xf numFmtId="164" fontId="0" fillId="0" borderId="0" xfId="0" applyNumberFormat="1"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23" fillId="3" borderId="0" xfId="0" applyFont="1" applyFill="1" applyAlignment="1">
      <alignment vertical="center"/>
    </xf>
    <xf numFmtId="164" fontId="15" fillId="0" borderId="0" xfId="0" applyNumberFormat="1" applyFont="1" applyBorder="1" applyAlignment="1" applyProtection="1">
      <alignment horizontal="right" vertical="center"/>
    </xf>
    <xf numFmtId="0" fontId="0" fillId="0" borderId="0" xfId="0" applyAlignment="1">
      <alignment vertical="center"/>
    </xf>
    <xf numFmtId="0" fontId="0" fillId="0" borderId="0" xfId="0" applyAlignment="1">
      <alignment horizontal="left" vertical="center"/>
    </xf>
    <xf numFmtId="0" fontId="25" fillId="0" borderId="0" xfId="0" applyFont="1" applyAlignment="1" applyProtection="1">
      <alignment vertical="center"/>
      <protection locked="0"/>
    </xf>
    <xf numFmtId="0" fontId="25" fillId="3" borderId="14" xfId="0" applyFont="1" applyFill="1" applyBorder="1" applyAlignment="1">
      <alignment vertical="center" wrapText="1"/>
    </xf>
    <xf numFmtId="0" fontId="29" fillId="0" borderId="15" xfId="0" applyFont="1" applyBorder="1" applyAlignment="1">
      <alignment vertical="center"/>
    </xf>
    <xf numFmtId="0" fontId="29" fillId="0" borderId="0" xfId="0" applyFont="1" applyBorder="1" applyAlignment="1">
      <alignment vertical="center"/>
    </xf>
    <xf numFmtId="0" fontId="29" fillId="0" borderId="10" xfId="0" applyFont="1" applyBorder="1" applyAlignment="1">
      <alignment vertical="center"/>
    </xf>
    <xf numFmtId="0" fontId="29" fillId="0" borderId="12" xfId="0" applyFont="1" applyBorder="1" applyAlignment="1">
      <alignment vertical="center"/>
    </xf>
    <xf numFmtId="2" fontId="29" fillId="0" borderId="12" xfId="0" applyNumberFormat="1" applyFont="1" applyBorder="1" applyAlignment="1">
      <alignment vertical="center"/>
    </xf>
    <xf numFmtId="0" fontId="29" fillId="0" borderId="13" xfId="0" applyFont="1" applyBorder="1" applyAlignment="1">
      <alignment vertical="center"/>
    </xf>
    <xf numFmtId="1" fontId="29" fillId="0" borderId="15" xfId="0" applyNumberFormat="1" applyFont="1" applyBorder="1" applyAlignment="1">
      <alignment vertical="center"/>
    </xf>
    <xf numFmtId="0" fontId="29" fillId="0" borderId="16" xfId="0" applyFont="1" applyBorder="1" applyAlignment="1">
      <alignment vertical="center"/>
    </xf>
    <xf numFmtId="2" fontId="29" fillId="0" borderId="0" xfId="0" applyNumberFormat="1" applyFont="1" applyBorder="1" applyAlignment="1">
      <alignment vertical="center"/>
    </xf>
    <xf numFmtId="0" fontId="30" fillId="0" borderId="10" xfId="0" applyFont="1" applyBorder="1" applyAlignment="1">
      <alignment vertical="center"/>
    </xf>
    <xf numFmtId="1" fontId="29" fillId="0" borderId="0" xfId="0" applyNumberFormat="1" applyFont="1" applyBorder="1" applyAlignment="1">
      <alignment vertical="center"/>
    </xf>
    <xf numFmtId="0" fontId="31" fillId="0" borderId="10" xfId="0" applyFont="1" applyBorder="1" applyAlignment="1">
      <alignment vertical="center"/>
    </xf>
    <xf numFmtId="2" fontId="29" fillId="0" borderId="15" xfId="0" applyNumberFormat="1" applyFont="1" applyBorder="1" applyAlignment="1">
      <alignment vertical="center"/>
    </xf>
    <xf numFmtId="164" fontId="29" fillId="0" borderId="12" xfId="0" applyNumberFormat="1" applyFont="1" applyBorder="1" applyAlignment="1">
      <alignment vertical="center"/>
    </xf>
    <xf numFmtId="4" fontId="29" fillId="0" borderId="12" xfId="0" applyNumberFormat="1" applyFont="1" applyBorder="1" applyAlignment="1">
      <alignment vertical="center"/>
    </xf>
    <xf numFmtId="0" fontId="30" fillId="0" borderId="13" xfId="0" applyFont="1" applyBorder="1" applyAlignment="1">
      <alignment vertical="center"/>
    </xf>
    <xf numFmtId="1" fontId="29" fillId="0" borderId="12" xfId="0" applyNumberFormat="1" applyFont="1" applyBorder="1" applyAlignment="1">
      <alignment vertical="center"/>
    </xf>
    <xf numFmtId="164" fontId="29" fillId="0" borderId="0" xfId="0" applyNumberFormat="1" applyFont="1" applyBorder="1" applyAlignment="1">
      <alignment vertical="center"/>
    </xf>
    <xf numFmtId="0" fontId="33" fillId="0" borderId="0" xfId="0" applyFont="1" applyAlignment="1" applyProtection="1">
      <alignment vertical="center"/>
    </xf>
    <xf numFmtId="0" fontId="36" fillId="0" borderId="0" xfId="0" applyFont="1" applyAlignment="1" applyProtection="1">
      <alignment vertical="center"/>
    </xf>
    <xf numFmtId="0" fontId="37" fillId="2" borderId="0" xfId="0" applyFont="1" applyFill="1" applyAlignment="1" applyProtection="1">
      <alignment horizontal="center" vertical="center"/>
    </xf>
    <xf numFmtId="0" fontId="38" fillId="0" borderId="0" xfId="0" applyFont="1" applyAlignment="1" applyProtection="1">
      <alignment vertical="center"/>
    </xf>
    <xf numFmtId="0" fontId="37" fillId="0" borderId="0" xfId="0" applyFont="1" applyAlignment="1" applyProtection="1">
      <alignment horizontal="right" vertical="center" wrapText="1"/>
    </xf>
    <xf numFmtId="0" fontId="1" fillId="0" borderId="3" xfId="0" applyFont="1" applyBorder="1" applyAlignment="1" applyProtection="1">
      <alignment vertical="center"/>
    </xf>
    <xf numFmtId="0" fontId="1" fillId="0" borderId="1" xfId="0" applyFont="1" applyBorder="1" applyAlignment="1" applyProtection="1">
      <alignment vertical="center"/>
    </xf>
    <xf numFmtId="2" fontId="0" fillId="4" borderId="1" xfId="0" applyNumberFormat="1" applyFill="1" applyBorder="1" applyAlignment="1" applyProtection="1">
      <alignment vertical="center"/>
    </xf>
    <xf numFmtId="0" fontId="33" fillId="0" borderId="0" xfId="0" applyFont="1" applyBorder="1" applyAlignment="1" applyProtection="1">
      <alignment vertical="center"/>
    </xf>
    <xf numFmtId="164" fontId="33" fillId="0" borderId="0" xfId="0" applyNumberFormat="1" applyFont="1" applyBorder="1" applyAlignment="1" applyProtection="1">
      <alignment horizontal="center" vertical="center" shrinkToFit="1"/>
    </xf>
    <xf numFmtId="0" fontId="34" fillId="0" borderId="0" xfId="0" applyFont="1" applyBorder="1" applyAlignment="1" applyProtection="1">
      <alignment vertical="center"/>
    </xf>
    <xf numFmtId="0" fontId="33" fillId="0" borderId="0" xfId="0" applyFont="1" applyFill="1" applyBorder="1" applyAlignment="1" applyProtection="1">
      <alignment vertical="center"/>
    </xf>
    <xf numFmtId="164" fontId="33" fillId="0" borderId="0" xfId="0" applyNumberFormat="1" applyFont="1" applyBorder="1" applyAlignment="1" applyProtection="1">
      <alignment vertical="center"/>
    </xf>
    <xf numFmtId="164" fontId="33" fillId="0" borderId="0" xfId="0" applyNumberFormat="1" applyFont="1" applyFill="1" applyBorder="1" applyAlignment="1" applyProtection="1">
      <alignment vertical="center"/>
    </xf>
    <xf numFmtId="0" fontId="39" fillId="0" borderId="0" xfId="0" applyFont="1" applyBorder="1" applyAlignment="1" applyProtection="1">
      <alignment vertical="center"/>
    </xf>
    <xf numFmtId="0" fontId="39" fillId="0" borderId="1" xfId="0" applyFont="1" applyBorder="1" applyAlignment="1" applyProtection="1">
      <alignment vertical="center"/>
    </xf>
    <xf numFmtId="0" fontId="40" fillId="4" borderId="1" xfId="0" applyFont="1" applyFill="1" applyBorder="1" applyProtection="1"/>
    <xf numFmtId="165" fontId="40" fillId="4" borderId="1" xfId="0" applyNumberFormat="1" applyFont="1" applyFill="1" applyBorder="1" applyProtection="1"/>
    <xf numFmtId="0" fontId="1" fillId="0" borderId="0" xfId="0" applyFont="1" applyBorder="1" applyAlignment="1" applyProtection="1">
      <alignment vertical="center"/>
    </xf>
    <xf numFmtId="0" fontId="13" fillId="0" borderId="17" xfId="0" applyFont="1" applyBorder="1" applyAlignment="1" applyProtection="1">
      <alignment vertical="center"/>
    </xf>
    <xf numFmtId="0" fontId="0" fillId="0" borderId="17" xfId="0" applyBorder="1" applyAlignment="1" applyProtection="1">
      <alignment vertical="center"/>
    </xf>
    <xf numFmtId="0" fontId="0" fillId="0" borderId="14" xfId="0" applyBorder="1" applyAlignment="1" applyProtection="1">
      <alignment vertical="center"/>
    </xf>
    <xf numFmtId="164" fontId="33" fillId="0" borderId="0" xfId="0" applyNumberFormat="1" applyFont="1" applyBorder="1" applyAlignment="1" applyProtection="1">
      <alignment horizontal="center" vertical="center"/>
    </xf>
    <xf numFmtId="11" fontId="39" fillId="0" borderId="1" xfId="0" applyNumberFormat="1" applyFont="1" applyBorder="1" applyAlignment="1" applyProtection="1">
      <alignment vertical="center"/>
    </xf>
    <xf numFmtId="0" fontId="1" fillId="0" borderId="0" xfId="0" applyFont="1"/>
    <xf numFmtId="0" fontId="33" fillId="0" borderId="0" xfId="0" applyFont="1" applyBorder="1" applyAlignment="1" applyProtection="1">
      <alignment horizontal="center" vertical="center"/>
    </xf>
    <xf numFmtId="0" fontId="39" fillId="0" borderId="2" xfId="0" applyFont="1" applyBorder="1" applyAlignment="1" applyProtection="1">
      <alignment horizontal="center" vertical="center"/>
    </xf>
    <xf numFmtId="0" fontId="39" fillId="0" borderId="29" xfId="0" applyFont="1" applyBorder="1" applyAlignment="1" applyProtection="1">
      <alignment horizontal="center" vertical="center"/>
    </xf>
    <xf numFmtId="0" fontId="1" fillId="0" borderId="21" xfId="0" applyFont="1" applyBorder="1" applyAlignment="1" applyProtection="1">
      <alignment horizontal="left" vertical="center"/>
    </xf>
    <xf numFmtId="164" fontId="3" fillId="0" borderId="1" xfId="0" applyNumberFormat="1" applyFont="1" applyBorder="1" applyAlignment="1" applyProtection="1">
      <alignment horizontal="right" vertical="center"/>
    </xf>
    <xf numFmtId="0" fontId="5" fillId="0" borderId="1" xfId="0" applyFont="1" applyBorder="1" applyAlignment="1" applyProtection="1">
      <alignment horizontal="left" vertical="center"/>
    </xf>
    <xf numFmtId="164" fontId="0" fillId="0" borderId="1" xfId="0" applyNumberFormat="1" applyBorder="1" applyAlignment="1" applyProtection="1">
      <alignmen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1" fillId="0" borderId="8"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2" fontId="0" fillId="4" borderId="6" xfId="0" applyNumberFormat="1" applyFill="1" applyBorder="1" applyAlignment="1" applyProtection="1">
      <alignment vertical="center"/>
    </xf>
    <xf numFmtId="0" fontId="1" fillId="0" borderId="9" xfId="0" applyFont="1" applyBorder="1" applyAlignment="1" applyProtection="1">
      <alignment vertical="center"/>
    </xf>
    <xf numFmtId="164" fontId="1" fillId="5" borderId="33" xfId="0" applyNumberFormat="1" applyFont="1" applyFill="1" applyBorder="1" applyAlignment="1" applyProtection="1">
      <alignment vertical="center"/>
      <protection locked="0"/>
    </xf>
    <xf numFmtId="0" fontId="0" fillId="5" borderId="1" xfId="0" applyFill="1" applyBorder="1" applyProtection="1">
      <protection locked="0"/>
    </xf>
    <xf numFmtId="0" fontId="0" fillId="5" borderId="0" xfId="0" applyFill="1" applyBorder="1" applyAlignment="1" applyProtection="1">
      <alignment vertical="center"/>
      <protection locked="0"/>
    </xf>
    <xf numFmtId="0" fontId="44" fillId="5" borderId="1" xfId="0" applyFont="1" applyFill="1" applyBorder="1" applyAlignment="1" applyProtection="1">
      <alignment horizontal="left" vertical="center"/>
      <protection locked="0"/>
    </xf>
    <xf numFmtId="0" fontId="23" fillId="3" borderId="0" xfId="0" applyFont="1" applyFill="1" applyAlignment="1">
      <alignment horizontal="left" vertical="center" wrapText="1"/>
    </xf>
    <xf numFmtId="0" fontId="0" fillId="3" borderId="0" xfId="0" applyFill="1" applyAlignment="1">
      <alignment horizontal="center"/>
    </xf>
    <xf numFmtId="0" fontId="35" fillId="3" borderId="0" xfId="0" applyFont="1" applyFill="1" applyAlignment="1">
      <alignment horizontal="left" vertical="center"/>
    </xf>
    <xf numFmtId="0" fontId="23" fillId="3" borderId="0" xfId="0" applyFont="1" applyFill="1" applyAlignment="1">
      <alignment horizontal="left" vertical="center"/>
    </xf>
    <xf numFmtId="0" fontId="22" fillId="3" borderId="0" xfId="0" applyFont="1" applyFill="1" applyAlignment="1">
      <alignment horizontal="center" vertical="center"/>
    </xf>
    <xf numFmtId="0" fontId="23" fillId="3" borderId="0" xfId="0" applyFont="1" applyFill="1" applyAlignment="1">
      <alignment vertical="center" wrapText="1"/>
    </xf>
    <xf numFmtId="0" fontId="5" fillId="0" borderId="30" xfId="0" applyFont="1" applyBorder="1" applyAlignment="1" applyProtection="1">
      <alignment horizontal="left" vertical="center"/>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2"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24" xfId="0" applyFont="1" applyBorder="1" applyAlignment="1" applyProtection="1">
      <alignment horizontal="left" vertical="center"/>
    </xf>
    <xf numFmtId="0" fontId="0" fillId="0" borderId="15" xfId="0" applyBorder="1" applyAlignment="1" applyProtection="1">
      <alignment horizontal="center" vertical="center"/>
    </xf>
    <xf numFmtId="0" fontId="0" fillId="0" borderId="12" xfId="0" applyBorder="1" applyAlignment="1" applyProtection="1">
      <alignment horizontal="center" vertical="center"/>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10" xfId="0" applyFont="1" applyBorder="1" applyAlignment="1" applyProtection="1">
      <alignment horizontal="left" vertical="center"/>
    </xf>
    <xf numFmtId="0" fontId="0" fillId="0" borderId="15" xfId="0" applyBorder="1" applyAlignment="1" applyProtection="1">
      <alignment horizontal="center"/>
    </xf>
    <xf numFmtId="0" fontId="0" fillId="0" borderId="12" xfId="0" applyBorder="1" applyAlignment="1" applyProtection="1">
      <alignment horizontal="center"/>
    </xf>
    <xf numFmtId="0" fontId="16" fillId="0" borderId="17" xfId="0" applyFont="1" applyBorder="1" applyAlignment="1" applyProtection="1">
      <alignment horizontal="left" vertical="center"/>
    </xf>
    <xf numFmtId="0" fontId="16" fillId="0" borderId="18" xfId="0" applyFont="1" applyBorder="1" applyAlignment="1" applyProtection="1">
      <alignment horizontal="left" vertical="center"/>
    </xf>
    <xf numFmtId="0" fontId="16" fillId="0" borderId="19" xfId="0" applyFont="1" applyBorder="1" applyAlignment="1" applyProtection="1">
      <alignment horizontal="left" vertical="center"/>
    </xf>
    <xf numFmtId="0" fontId="5" fillId="0" borderId="25" xfId="0" applyFont="1" applyBorder="1" applyAlignment="1" applyProtection="1">
      <alignment horizontal="left" vertical="center"/>
    </xf>
    <xf numFmtId="0" fontId="5" fillId="0" borderId="26" xfId="0" applyFont="1" applyBorder="1" applyAlignment="1" applyProtection="1">
      <alignment horizontal="left" vertical="center"/>
    </xf>
    <xf numFmtId="0" fontId="5" fillId="0" borderId="27" xfId="0" applyFont="1" applyBorder="1" applyAlignment="1" applyProtection="1">
      <alignment horizontal="left" vertical="center"/>
    </xf>
    <xf numFmtId="0" fontId="6" fillId="4" borderId="8" xfId="0" applyFont="1" applyFill="1" applyBorder="1" applyAlignment="1" applyProtection="1">
      <alignment horizontal="left" vertical="center" wrapText="1"/>
    </xf>
    <xf numFmtId="0" fontId="6" fillId="4" borderId="0" xfId="0" applyFont="1" applyFill="1" applyBorder="1" applyAlignment="1" applyProtection="1">
      <alignment horizontal="left" vertical="center" wrapText="1"/>
    </xf>
    <xf numFmtId="0" fontId="6" fillId="4" borderId="10" xfId="0" applyFont="1" applyFill="1" applyBorder="1" applyAlignment="1" applyProtection="1">
      <alignment horizontal="left" vertical="center" wrapText="1"/>
    </xf>
    <xf numFmtId="0" fontId="6" fillId="4" borderId="11"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13" xfId="0" applyFont="1" applyFill="1" applyBorder="1" applyAlignment="1" applyProtection="1">
      <alignment horizontal="left" vertical="center" wrapText="1"/>
    </xf>
    <xf numFmtId="0" fontId="19" fillId="0" borderId="0" xfId="0" applyFont="1" applyAlignment="1" applyProtection="1">
      <alignment horizontal="center" vertical="center" wrapText="1"/>
    </xf>
    <xf numFmtId="0" fontId="4" fillId="0" borderId="0" xfId="0" applyFont="1" applyAlignment="1" applyProtection="1">
      <alignment horizontal="center" vertical="center" wrapText="1"/>
    </xf>
    <xf numFmtId="164" fontId="17" fillId="3" borderId="17" xfId="0" applyNumberFormat="1" applyFont="1" applyFill="1" applyBorder="1" applyAlignment="1" applyProtection="1">
      <alignment horizontal="right" vertical="center"/>
    </xf>
    <xf numFmtId="164" fontId="17" fillId="3" borderId="18" xfId="0" applyNumberFormat="1" applyFont="1" applyFill="1" applyBorder="1" applyAlignment="1" applyProtection="1">
      <alignment horizontal="right" vertical="center"/>
    </xf>
    <xf numFmtId="164" fontId="17" fillId="3" borderId="19" xfId="0" applyNumberFormat="1" applyFont="1" applyFill="1" applyBorder="1" applyAlignment="1" applyProtection="1">
      <alignment horizontal="right" vertical="center"/>
    </xf>
    <xf numFmtId="0" fontId="26" fillId="0" borderId="0" xfId="0" applyFont="1" applyAlignment="1" applyProtection="1">
      <alignment horizontal="center" vertical="center"/>
    </xf>
    <xf numFmtId="0" fontId="18" fillId="0" borderId="0" xfId="0" applyFont="1" applyAlignment="1" applyProtection="1">
      <alignment horizontal="center" vertical="center"/>
    </xf>
    <xf numFmtId="0" fontId="0" fillId="0" borderId="0" xfId="0" applyAlignment="1" applyProtection="1">
      <alignment horizontal="center" vertical="center"/>
    </xf>
    <xf numFmtId="0" fontId="1" fillId="0" borderId="0" xfId="0" applyFont="1" applyAlignment="1" applyProtection="1">
      <alignment horizontal="center" vertical="center"/>
    </xf>
    <xf numFmtId="0" fontId="37" fillId="0" borderId="0" xfId="0" applyFont="1" applyAlignment="1" applyProtection="1">
      <alignment horizontal="left" vertical="center"/>
    </xf>
    <xf numFmtId="0" fontId="8" fillId="0" borderId="0" xfId="0" applyFont="1" applyAlignment="1" applyProtection="1">
      <alignment horizontal="center" vertical="center"/>
    </xf>
    <xf numFmtId="0" fontId="13" fillId="4" borderId="28" xfId="0" applyFont="1" applyFill="1" applyBorder="1" applyAlignment="1" applyProtection="1">
      <alignment horizontal="left" vertical="center"/>
    </xf>
    <xf numFmtId="0" fontId="13" fillId="4" borderId="15" xfId="0" applyFont="1" applyFill="1" applyBorder="1" applyAlignment="1" applyProtection="1">
      <alignment horizontal="left" vertical="center"/>
    </xf>
    <xf numFmtId="0" fontId="13" fillId="4" borderId="16" xfId="0" applyFont="1" applyFill="1" applyBorder="1" applyAlignment="1" applyProtection="1">
      <alignment horizontal="left" vertical="center"/>
    </xf>
    <xf numFmtId="0" fontId="29" fillId="0" borderId="0" xfId="0" applyFont="1" applyBorder="1" applyAlignment="1">
      <alignment horizontal="left" vertical="center" wrapText="1"/>
    </xf>
    <xf numFmtId="0" fontId="29" fillId="0" borderId="10" xfId="0" applyFont="1" applyBorder="1" applyAlignment="1">
      <alignment horizontal="left" vertical="center" wrapText="1"/>
    </xf>
    <xf numFmtId="0" fontId="29" fillId="0" borderId="15" xfId="0" applyFont="1" applyBorder="1" applyAlignment="1">
      <alignment horizontal="left" vertical="center" wrapText="1"/>
    </xf>
    <xf numFmtId="0" fontId="29" fillId="0" borderId="16" xfId="0" applyFont="1" applyBorder="1" applyAlignment="1">
      <alignment horizontal="left" vertical="center" wrapText="1"/>
    </xf>
    <xf numFmtId="0" fontId="25" fillId="0" borderId="0" xfId="0" applyFont="1" applyAlignment="1" applyProtection="1">
      <alignment horizontal="center" vertical="center"/>
      <protection locked="0"/>
    </xf>
    <xf numFmtId="0" fontId="28" fillId="0" borderId="28" xfId="0" applyFont="1" applyBorder="1" applyAlignment="1">
      <alignment horizontal="center" vertical="center"/>
    </xf>
    <xf numFmtId="0" fontId="28" fillId="0" borderId="11" xfId="0" applyFont="1" applyBorder="1" applyAlignment="1">
      <alignment horizontal="center" vertical="center"/>
    </xf>
    <xf numFmtId="0" fontId="28" fillId="0" borderId="8" xfId="0" applyFont="1" applyBorder="1" applyAlignment="1">
      <alignment horizontal="center" vertical="center"/>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25" fillId="3" borderId="20" xfId="0" applyFont="1" applyFill="1" applyBorder="1" applyAlignment="1">
      <alignment horizontal="left" vertical="center"/>
    </xf>
    <xf numFmtId="0" fontId="25" fillId="3" borderId="21" xfId="0" applyFont="1" applyFill="1" applyBorder="1" applyAlignment="1">
      <alignment horizontal="left" vertical="center"/>
    </xf>
    <xf numFmtId="0" fontId="26" fillId="0" borderId="28"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0" xfId="0" applyFont="1" applyBorder="1" applyAlignment="1">
      <alignment horizontal="left" vertical="center"/>
    </xf>
    <xf numFmtId="0" fontId="29" fillId="0" borderId="12" xfId="0" applyFont="1" applyBorder="1" applyAlignment="1">
      <alignment horizontal="left" vertical="center"/>
    </xf>
    <xf numFmtId="0" fontId="33" fillId="0" borderId="0" xfId="0" applyFont="1" applyBorder="1" applyAlignment="1" applyProtection="1">
      <alignment horizontal="center" vertical="center"/>
    </xf>
    <xf numFmtId="0" fontId="33" fillId="0" borderId="0" xfId="0" applyFont="1" applyBorder="1" applyAlignment="1" applyProtection="1">
      <alignment vertical="center" wrapText="1"/>
    </xf>
    <xf numFmtId="0" fontId="39" fillId="0" borderId="2" xfId="0" applyFont="1" applyBorder="1" applyAlignment="1" applyProtection="1">
      <alignment horizontal="center" vertical="center"/>
    </xf>
    <xf numFmtId="0" fontId="39" fillId="0" borderId="29" xfId="0" applyFont="1" applyBorder="1" applyAlignment="1" applyProtection="1">
      <alignment horizontal="center" vertical="center"/>
    </xf>
    <xf numFmtId="0" fontId="33" fillId="0" borderId="0" xfId="0" applyFont="1" applyFill="1" applyBorder="1" applyAlignment="1" applyProtection="1">
      <alignment horizontal="center" vertical="center"/>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633980511478176"/>
          <c:y val="3.0434814914672762E-2"/>
        </c:manualLayout>
      </c:layout>
      <c:overlay val="0"/>
      <c:spPr>
        <a:noFill/>
        <a:ln w="25400">
          <a:noFill/>
        </a:ln>
      </c:spPr>
      <c:txPr>
        <a:bodyPr/>
        <a:lstStyle/>
        <a:p>
          <a:pPr>
            <a:defRPr sz="925" b="0" i="0" u="none" strike="noStrike" baseline="0">
              <a:solidFill>
                <a:srgbClr val="000000"/>
              </a:solidFill>
              <a:latin typeface="Arial"/>
              <a:ea typeface="Arial"/>
              <a:cs typeface="Arial"/>
            </a:defRPr>
          </a:pPr>
          <a:endParaRPr lang="de-DE"/>
        </a:p>
      </c:txPr>
    </c:title>
    <c:autoTitleDeleted val="0"/>
    <c:plotArea>
      <c:layout>
        <c:manualLayout>
          <c:layoutTarget val="inner"/>
          <c:xMode val="edge"/>
          <c:yMode val="edge"/>
          <c:x val="9.5490778019040393E-2"/>
          <c:y val="0.14347841316917159"/>
          <c:w val="0.69628692305550288"/>
          <c:h val="0.67173984347384874"/>
        </c:manualLayout>
      </c:layout>
      <c:scatterChart>
        <c:scatterStyle val="lineMarker"/>
        <c:varyColors val="0"/>
        <c:ser>
          <c:idx val="0"/>
          <c:order val="0"/>
          <c:tx>
            <c:v>M1M2 vs VCOMP</c:v>
          </c:tx>
          <c:spPr>
            <a:ln w="38100">
              <a:solidFill>
                <a:srgbClr val="FF0000"/>
              </a:solidFill>
              <a:prstDash val="solid"/>
            </a:ln>
          </c:spPr>
          <c:marker>
            <c:symbol val="none"/>
          </c:marker>
          <c:xVal>
            <c:numRef>
              <c:f>data!$A$33:$A$173</c:f>
              <c:numCache>
                <c:formatCode>General</c:formatCode>
                <c:ptCount val="141"/>
                <c:pt idx="0">
                  <c:v>0</c:v>
                </c:pt>
                <c:pt idx="1">
                  <c:v>0.05</c:v>
                </c:pt>
                <c:pt idx="2">
                  <c:v>0.1</c:v>
                </c:pt>
                <c:pt idx="3">
                  <c:v>0.15000000000000002</c:v>
                </c:pt>
                <c:pt idx="4">
                  <c:v>0.2</c:v>
                </c:pt>
                <c:pt idx="5">
                  <c:v>0.25</c:v>
                </c:pt>
                <c:pt idx="6">
                  <c:v>0.3</c:v>
                </c:pt>
                <c:pt idx="7">
                  <c:v>0.35</c:v>
                </c:pt>
                <c:pt idx="8">
                  <c:v>0.39999999999999997</c:v>
                </c:pt>
                <c:pt idx="9">
                  <c:v>0.44999999999999996</c:v>
                </c:pt>
                <c:pt idx="10">
                  <c:v>0.49999999999999994</c:v>
                </c:pt>
                <c:pt idx="11">
                  <c:v>0.54999999999999993</c:v>
                </c:pt>
                <c:pt idx="12">
                  <c:v>0.6</c:v>
                </c:pt>
                <c:pt idx="13">
                  <c:v>0.65</c:v>
                </c:pt>
                <c:pt idx="14">
                  <c:v>0.70000000000000007</c:v>
                </c:pt>
                <c:pt idx="15">
                  <c:v>0.75000000000000011</c:v>
                </c:pt>
                <c:pt idx="16">
                  <c:v>0.80000000000000016</c:v>
                </c:pt>
                <c:pt idx="17">
                  <c:v>0.8500000000000002</c:v>
                </c:pt>
                <c:pt idx="18">
                  <c:v>0.90000000000000024</c:v>
                </c:pt>
                <c:pt idx="19">
                  <c:v>0.95000000000000029</c:v>
                </c:pt>
                <c:pt idx="20">
                  <c:v>1.0000000000000002</c:v>
                </c:pt>
                <c:pt idx="21">
                  <c:v>1.0500000000000003</c:v>
                </c:pt>
                <c:pt idx="22">
                  <c:v>1.1000000000000003</c:v>
                </c:pt>
                <c:pt idx="23">
                  <c:v>1.1500000000000004</c:v>
                </c:pt>
                <c:pt idx="24">
                  <c:v>1.2000000000000004</c:v>
                </c:pt>
                <c:pt idx="25">
                  <c:v>1.2500000000000004</c:v>
                </c:pt>
                <c:pt idx="26">
                  <c:v>1.3000000000000005</c:v>
                </c:pt>
                <c:pt idx="27">
                  <c:v>1.3500000000000005</c:v>
                </c:pt>
                <c:pt idx="28">
                  <c:v>1.4000000000000006</c:v>
                </c:pt>
                <c:pt idx="29">
                  <c:v>1.4500000000000006</c:v>
                </c:pt>
                <c:pt idx="30">
                  <c:v>1.5000000000000007</c:v>
                </c:pt>
                <c:pt idx="31">
                  <c:v>1.5500000000000007</c:v>
                </c:pt>
                <c:pt idx="32">
                  <c:v>1.6000000000000008</c:v>
                </c:pt>
                <c:pt idx="33">
                  <c:v>1.6500000000000008</c:v>
                </c:pt>
                <c:pt idx="34">
                  <c:v>1.7000000000000008</c:v>
                </c:pt>
                <c:pt idx="35">
                  <c:v>1.7500000000000009</c:v>
                </c:pt>
                <c:pt idx="36">
                  <c:v>1.8000000000000009</c:v>
                </c:pt>
                <c:pt idx="37">
                  <c:v>1.850000000000001</c:v>
                </c:pt>
                <c:pt idx="38">
                  <c:v>1.900000000000001</c:v>
                </c:pt>
                <c:pt idx="39">
                  <c:v>1.9500000000000011</c:v>
                </c:pt>
                <c:pt idx="40">
                  <c:v>2.0000000000000009</c:v>
                </c:pt>
                <c:pt idx="41">
                  <c:v>2.0500000000000007</c:v>
                </c:pt>
                <c:pt idx="42">
                  <c:v>2.1000000000000005</c:v>
                </c:pt>
                <c:pt idx="43">
                  <c:v>2.1500000000000004</c:v>
                </c:pt>
                <c:pt idx="44">
                  <c:v>2.2000000000000002</c:v>
                </c:pt>
                <c:pt idx="45">
                  <c:v>2.25</c:v>
                </c:pt>
                <c:pt idx="46">
                  <c:v>2.2999999999999998</c:v>
                </c:pt>
                <c:pt idx="47">
                  <c:v>2.3499999999999996</c:v>
                </c:pt>
                <c:pt idx="48">
                  <c:v>2.3999999999999995</c:v>
                </c:pt>
                <c:pt idx="49">
                  <c:v>2.4499999999999993</c:v>
                </c:pt>
                <c:pt idx="50">
                  <c:v>2.4999999999999991</c:v>
                </c:pt>
                <c:pt idx="51">
                  <c:v>2.5499999999999989</c:v>
                </c:pt>
                <c:pt idx="52">
                  <c:v>2.5999999999999988</c:v>
                </c:pt>
                <c:pt idx="53">
                  <c:v>2.6499999999999986</c:v>
                </c:pt>
                <c:pt idx="54">
                  <c:v>2.6999999999999984</c:v>
                </c:pt>
                <c:pt idx="55">
                  <c:v>2.7499999999999982</c:v>
                </c:pt>
                <c:pt idx="56">
                  <c:v>2.799999999999998</c:v>
                </c:pt>
                <c:pt idx="57">
                  <c:v>2.8499999999999979</c:v>
                </c:pt>
                <c:pt idx="58">
                  <c:v>2.8999999999999977</c:v>
                </c:pt>
                <c:pt idx="59">
                  <c:v>2.9499999999999975</c:v>
                </c:pt>
                <c:pt idx="60">
                  <c:v>2.9999999999999973</c:v>
                </c:pt>
                <c:pt idx="61">
                  <c:v>3.0499999999999972</c:v>
                </c:pt>
                <c:pt idx="62">
                  <c:v>3.099999999999997</c:v>
                </c:pt>
                <c:pt idx="63">
                  <c:v>3.1499999999999968</c:v>
                </c:pt>
                <c:pt idx="64">
                  <c:v>3.1999999999999966</c:v>
                </c:pt>
                <c:pt idx="65">
                  <c:v>3.2499999999999964</c:v>
                </c:pt>
                <c:pt idx="66">
                  <c:v>3.2999999999999963</c:v>
                </c:pt>
                <c:pt idx="67">
                  <c:v>3.3499999999999961</c:v>
                </c:pt>
                <c:pt idx="68">
                  <c:v>3.3999999999999959</c:v>
                </c:pt>
                <c:pt idx="69">
                  <c:v>3.4499999999999957</c:v>
                </c:pt>
                <c:pt idx="70">
                  <c:v>3.4999999999999956</c:v>
                </c:pt>
                <c:pt idx="71">
                  <c:v>3.5499999999999954</c:v>
                </c:pt>
                <c:pt idx="72">
                  <c:v>3.5999999999999952</c:v>
                </c:pt>
                <c:pt idx="73">
                  <c:v>3.649999999999995</c:v>
                </c:pt>
                <c:pt idx="74">
                  <c:v>3.6999999999999948</c:v>
                </c:pt>
                <c:pt idx="75">
                  <c:v>3.7499999999999947</c:v>
                </c:pt>
                <c:pt idx="76">
                  <c:v>3.7999999999999945</c:v>
                </c:pt>
                <c:pt idx="77">
                  <c:v>3.8499999999999943</c:v>
                </c:pt>
                <c:pt idx="78">
                  <c:v>3.8999999999999941</c:v>
                </c:pt>
                <c:pt idx="79">
                  <c:v>3.949999999999994</c:v>
                </c:pt>
                <c:pt idx="80">
                  <c:v>3.9999999999999938</c:v>
                </c:pt>
                <c:pt idx="81">
                  <c:v>4.0499999999999936</c:v>
                </c:pt>
                <c:pt idx="82">
                  <c:v>4.0999999999999934</c:v>
                </c:pt>
                <c:pt idx="83">
                  <c:v>4.1499999999999932</c:v>
                </c:pt>
                <c:pt idx="84">
                  <c:v>4.1999999999999931</c:v>
                </c:pt>
                <c:pt idx="85">
                  <c:v>4.2499999999999929</c:v>
                </c:pt>
                <c:pt idx="86">
                  <c:v>4.2999999999999927</c:v>
                </c:pt>
                <c:pt idx="87">
                  <c:v>4.3499999999999925</c:v>
                </c:pt>
                <c:pt idx="88">
                  <c:v>4.3999999999999924</c:v>
                </c:pt>
                <c:pt idx="89">
                  <c:v>4.4499999999999922</c:v>
                </c:pt>
                <c:pt idx="90">
                  <c:v>4.499999999999992</c:v>
                </c:pt>
                <c:pt idx="91">
                  <c:v>4.5499999999999918</c:v>
                </c:pt>
                <c:pt idx="92">
                  <c:v>4.5999999999999917</c:v>
                </c:pt>
                <c:pt idx="93">
                  <c:v>4.6499999999999915</c:v>
                </c:pt>
                <c:pt idx="94">
                  <c:v>4.6999999999999913</c:v>
                </c:pt>
                <c:pt idx="95">
                  <c:v>4.7499999999999911</c:v>
                </c:pt>
                <c:pt idx="96">
                  <c:v>4.7999999999999909</c:v>
                </c:pt>
                <c:pt idx="97">
                  <c:v>4.8499999999999908</c:v>
                </c:pt>
                <c:pt idx="98">
                  <c:v>4.8999999999999906</c:v>
                </c:pt>
                <c:pt idx="99">
                  <c:v>4.9499999999999904</c:v>
                </c:pt>
                <c:pt idx="100">
                  <c:v>4.9999999999999902</c:v>
                </c:pt>
                <c:pt idx="101">
                  <c:v>5.0499999999999901</c:v>
                </c:pt>
                <c:pt idx="102">
                  <c:v>5.0999999999999899</c:v>
                </c:pt>
                <c:pt idx="103">
                  <c:v>5.1499999999999897</c:v>
                </c:pt>
                <c:pt idx="104">
                  <c:v>5.1999999999999895</c:v>
                </c:pt>
                <c:pt idx="105">
                  <c:v>5.2499999999999893</c:v>
                </c:pt>
                <c:pt idx="106">
                  <c:v>5.2999999999999892</c:v>
                </c:pt>
                <c:pt idx="107">
                  <c:v>5.349999999999989</c:v>
                </c:pt>
                <c:pt idx="108">
                  <c:v>5.3999999999999888</c:v>
                </c:pt>
                <c:pt idx="109">
                  <c:v>5.4499999999999886</c:v>
                </c:pt>
                <c:pt idx="110">
                  <c:v>5.4999999999999885</c:v>
                </c:pt>
                <c:pt idx="111">
                  <c:v>5.5499999999999883</c:v>
                </c:pt>
                <c:pt idx="112">
                  <c:v>5.5999999999999881</c:v>
                </c:pt>
                <c:pt idx="113">
                  <c:v>5.6499999999999879</c:v>
                </c:pt>
                <c:pt idx="114">
                  <c:v>5.6999999999999877</c:v>
                </c:pt>
                <c:pt idx="115">
                  <c:v>5.7499999999999876</c:v>
                </c:pt>
                <c:pt idx="116">
                  <c:v>5.7999999999999874</c:v>
                </c:pt>
                <c:pt idx="117">
                  <c:v>5.8499999999999872</c:v>
                </c:pt>
                <c:pt idx="118">
                  <c:v>5.899999999999987</c:v>
                </c:pt>
                <c:pt idx="119">
                  <c:v>5.9499999999999869</c:v>
                </c:pt>
                <c:pt idx="120">
                  <c:v>5.9999999999999867</c:v>
                </c:pt>
                <c:pt idx="121">
                  <c:v>6.0499999999999865</c:v>
                </c:pt>
                <c:pt idx="122">
                  <c:v>6.0999999999999863</c:v>
                </c:pt>
                <c:pt idx="123">
                  <c:v>6.1499999999999861</c:v>
                </c:pt>
                <c:pt idx="124">
                  <c:v>6.199999999999986</c:v>
                </c:pt>
                <c:pt idx="125">
                  <c:v>6.2499999999999858</c:v>
                </c:pt>
                <c:pt idx="126">
                  <c:v>6.2999999999999856</c:v>
                </c:pt>
                <c:pt idx="127">
                  <c:v>6.3499999999999854</c:v>
                </c:pt>
                <c:pt idx="128">
                  <c:v>6.3999999999999853</c:v>
                </c:pt>
                <c:pt idx="129">
                  <c:v>6.4499999999999851</c:v>
                </c:pt>
                <c:pt idx="130">
                  <c:v>6.4999999999999849</c:v>
                </c:pt>
                <c:pt idx="131">
                  <c:v>6.5499999999999847</c:v>
                </c:pt>
                <c:pt idx="132">
                  <c:v>6.5999999999999845</c:v>
                </c:pt>
                <c:pt idx="133">
                  <c:v>6.6499999999999844</c:v>
                </c:pt>
                <c:pt idx="134">
                  <c:v>6.6999999999999842</c:v>
                </c:pt>
                <c:pt idx="135">
                  <c:v>6.749999999999984</c:v>
                </c:pt>
                <c:pt idx="136">
                  <c:v>6.7999999999999838</c:v>
                </c:pt>
                <c:pt idx="137">
                  <c:v>6.8499999999999837</c:v>
                </c:pt>
                <c:pt idx="138">
                  <c:v>6.8999999999999835</c:v>
                </c:pt>
                <c:pt idx="139">
                  <c:v>6.9499999999999833</c:v>
                </c:pt>
                <c:pt idx="140">
                  <c:v>6.9999999999999831</c:v>
                </c:pt>
              </c:numCache>
            </c:numRef>
          </c:xVal>
          <c:yVal>
            <c:numRef>
              <c:f>data!$D$33:$D$173</c:f>
              <c:numCache>
                <c:formatCode>0.000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1.9568000000000559E-5</c:v>
                </c:pt>
                <c:pt idx="32">
                  <c:v>7.8272000000001191E-5</c:v>
                </c:pt>
                <c:pt idx="33">
                  <c:v>1.7611200000000189E-4</c:v>
                </c:pt>
                <c:pt idx="34">
                  <c:v>3.1308800000000271E-4</c:v>
                </c:pt>
                <c:pt idx="35">
                  <c:v>4.8920000000000354E-4</c:v>
                </c:pt>
                <c:pt idx="36">
                  <c:v>7.0444800000000454E-4</c:v>
                </c:pt>
                <c:pt idx="37">
                  <c:v>9.5883200000000538E-4</c:v>
                </c:pt>
                <c:pt idx="38">
                  <c:v>1.2523520000000063E-3</c:v>
                </c:pt>
                <c:pt idx="39">
                  <c:v>1.5850080000000075E-3</c:v>
                </c:pt>
                <c:pt idx="40">
                  <c:v>1.9568000000000111E-3</c:v>
                </c:pt>
                <c:pt idx="41">
                  <c:v>2.6248484625000126E-3</c:v>
                </c:pt>
                <c:pt idx="42">
                  <c:v>3.4297812000000111E-3</c:v>
                </c:pt>
                <c:pt idx="43">
                  <c:v>4.3843479875000091E-3</c:v>
                </c:pt>
                <c:pt idx="44">
                  <c:v>5.501298600000008E-3</c:v>
                </c:pt>
                <c:pt idx="45">
                  <c:v>6.7933828125000019E-3</c:v>
                </c:pt>
                <c:pt idx="46">
                  <c:v>8.2733503999999954E-3</c:v>
                </c:pt>
                <c:pt idx="47">
                  <c:v>9.9539511374999931E-3</c:v>
                </c:pt>
                <c:pt idx="48">
                  <c:v>1.1847934799999982E-2</c:v>
                </c:pt>
                <c:pt idx="49">
                  <c:v>1.3968051162499971E-2</c:v>
                </c:pt>
                <c:pt idx="50">
                  <c:v>1.6327049999999961E-2</c:v>
                </c:pt>
                <c:pt idx="51">
                  <c:v>1.8937681087499946E-2</c:v>
                </c:pt>
                <c:pt idx="52">
                  <c:v>2.1812694199999927E-2</c:v>
                </c:pt>
                <c:pt idx="53">
                  <c:v>2.4964839112499915E-2</c:v>
                </c:pt>
                <c:pt idx="54">
                  <c:v>2.8406865599999893E-2</c:v>
                </c:pt>
                <c:pt idx="55">
                  <c:v>3.2151523437499878E-2</c:v>
                </c:pt>
                <c:pt idx="56">
                  <c:v>3.6211562399999841E-2</c:v>
                </c:pt>
                <c:pt idx="57">
                  <c:v>4.0599732262499813E-2</c:v>
                </c:pt>
                <c:pt idx="58">
                  <c:v>4.5328782799999794E-2</c:v>
                </c:pt>
                <c:pt idx="59">
                  <c:v>5.0411463787499756E-2</c:v>
                </c:pt>
                <c:pt idx="60">
                  <c:v>5.6410874999999611E-2</c:v>
                </c:pt>
                <c:pt idx="61">
                  <c:v>6.4333147962499559E-2</c:v>
                </c:pt>
                <c:pt idx="62">
                  <c:v>7.291819519999948E-2</c:v>
                </c:pt>
                <c:pt idx="63">
                  <c:v>8.2191607987499429E-2</c:v>
                </c:pt>
                <c:pt idx="64">
                  <c:v>9.2178977599999337E-2</c:v>
                </c:pt>
                <c:pt idx="65">
                  <c:v>0.10290589531249923</c:v>
                </c:pt>
                <c:pt idx="66">
                  <c:v>0.11439795239999917</c:v>
                </c:pt>
                <c:pt idx="67">
                  <c:v>0.12668074013749903</c:v>
                </c:pt>
                <c:pt idx="68">
                  <c:v>0.13977984979999894</c:v>
                </c:pt>
                <c:pt idx="69">
                  <c:v>0.15372087266249881</c:v>
                </c:pt>
                <c:pt idx="70">
                  <c:v>0.16852939999999869</c:v>
                </c:pt>
                <c:pt idx="71">
                  <c:v>0.18423102308749856</c:v>
                </c:pt>
                <c:pt idx="72">
                  <c:v>0.20085133319999848</c:v>
                </c:pt>
                <c:pt idx="73">
                  <c:v>0.21841592161249826</c:v>
                </c:pt>
                <c:pt idx="74">
                  <c:v>0.23695037959999815</c:v>
                </c:pt>
                <c:pt idx="75">
                  <c:v>0.25648029843749792</c:v>
                </c:pt>
                <c:pt idx="76">
                  <c:v>0.27703126939999767</c:v>
                </c:pt>
                <c:pt idx="77">
                  <c:v>0.29862888376249763</c:v>
                </c:pt>
                <c:pt idx="78">
                  <c:v>0.32129873279999743</c:v>
                </c:pt>
                <c:pt idx="79">
                  <c:v>0.34506640778749709</c:v>
                </c:pt>
                <c:pt idx="80">
                  <c:v>0.36995749999999689</c:v>
                </c:pt>
                <c:pt idx="81">
                  <c:v>0.39599760071249662</c:v>
                </c:pt>
                <c:pt idx="82">
                  <c:v>0.42321230119999653</c:v>
                </c:pt>
                <c:pt idx="83">
                  <c:v>0.45162719273749624</c:v>
                </c:pt>
                <c:pt idx="84">
                  <c:v>0.48126786659999593</c:v>
                </c:pt>
                <c:pt idx="85">
                  <c:v>0.51215991406249561</c:v>
                </c:pt>
                <c:pt idx="86">
                  <c:v>0.54432892639999519</c:v>
                </c:pt>
                <c:pt idx="87">
                  <c:v>0.57780049488749508</c:v>
                </c:pt>
                <c:pt idx="88">
                  <c:v>0.61260021079999483</c:v>
                </c:pt>
                <c:pt idx="89">
                  <c:v>0.64875366541249446</c:v>
                </c:pt>
                <c:pt idx="90">
                  <c:v>0.686286449999994</c:v>
                </c:pt>
                <c:pt idx="91">
                  <c:v>0.72522415583749367</c:v>
                </c:pt>
                <c:pt idx="92">
                  <c:v>0.76559237419999349</c:v>
                </c:pt>
                <c:pt idx="93">
                  <c:v>0.80741669636249302</c:v>
                </c:pt>
                <c:pt idx="94">
                  <c:v>0.85072271359999252</c:v>
                </c:pt>
                <c:pt idx="95">
                  <c:v>0.89553601718749221</c:v>
                </c:pt>
                <c:pt idx="96">
                  <c:v>0.94188219839999143</c:v>
                </c:pt>
                <c:pt idx="97">
                  <c:v>0.98978684851249121</c:v>
                </c:pt>
                <c:pt idx="98">
                  <c:v>1.0392755587999909</c:v>
                </c:pt>
                <c:pt idx="99">
                  <c:v>1.0903739205374903</c:v>
                </c:pt>
                <c:pt idx="100">
                  <c:v>1.1431075249999898</c:v>
                </c:pt>
                <c:pt idx="101">
                  <c:v>1.197501963462489</c:v>
                </c:pt>
                <c:pt idx="102">
                  <c:v>1.2535828271999887</c:v>
                </c:pt>
                <c:pt idx="103">
                  <c:v>1.3113757074874883</c:v>
                </c:pt>
                <c:pt idx="104">
                  <c:v>1.3709061955999877</c:v>
                </c:pt>
                <c:pt idx="105">
                  <c:v>1.4321998828124869</c:v>
                </c:pt>
                <c:pt idx="106">
                  <c:v>1.4952823603999863</c:v>
                </c:pt>
                <c:pt idx="107">
                  <c:v>1.560179219637486</c:v>
                </c:pt>
                <c:pt idx="108">
                  <c:v>1.6269160517999852</c:v>
                </c:pt>
                <c:pt idx="109">
                  <c:v>1.6955184481624845</c:v>
                </c:pt>
                <c:pt idx="110">
                  <c:v>1.7660119999999837</c:v>
                </c:pt>
                <c:pt idx="111">
                  <c:v>1.8114412522499896</c:v>
                </c:pt>
                <c:pt idx="112">
                  <c:v>1.8564442889999893</c:v>
                </c:pt>
                <c:pt idx="113">
                  <c:v>1.856568</c:v>
                </c:pt>
                <c:pt idx="114">
                  <c:v>1.856568</c:v>
                </c:pt>
                <c:pt idx="115">
                  <c:v>1.856568</c:v>
                </c:pt>
                <c:pt idx="116">
                  <c:v>1.856568</c:v>
                </c:pt>
                <c:pt idx="117">
                  <c:v>1.856568</c:v>
                </c:pt>
                <c:pt idx="118">
                  <c:v>1.856568</c:v>
                </c:pt>
                <c:pt idx="119">
                  <c:v>1.856568</c:v>
                </c:pt>
                <c:pt idx="120">
                  <c:v>1.856568</c:v>
                </c:pt>
                <c:pt idx="121">
                  <c:v>1.856568</c:v>
                </c:pt>
                <c:pt idx="122">
                  <c:v>1.856568</c:v>
                </c:pt>
                <c:pt idx="123">
                  <c:v>1.856568</c:v>
                </c:pt>
                <c:pt idx="124">
                  <c:v>1.856568</c:v>
                </c:pt>
                <c:pt idx="125">
                  <c:v>1.856568</c:v>
                </c:pt>
                <c:pt idx="126">
                  <c:v>1.856568</c:v>
                </c:pt>
                <c:pt idx="127">
                  <c:v>1.856568</c:v>
                </c:pt>
                <c:pt idx="128">
                  <c:v>1.856568</c:v>
                </c:pt>
                <c:pt idx="129">
                  <c:v>1.856568</c:v>
                </c:pt>
                <c:pt idx="130">
                  <c:v>1.856568</c:v>
                </c:pt>
                <c:pt idx="131">
                  <c:v>1.856568</c:v>
                </c:pt>
                <c:pt idx="132">
                  <c:v>1.856568</c:v>
                </c:pt>
                <c:pt idx="133">
                  <c:v>1.856568</c:v>
                </c:pt>
                <c:pt idx="134">
                  <c:v>1.856568</c:v>
                </c:pt>
                <c:pt idx="135">
                  <c:v>1.856568</c:v>
                </c:pt>
                <c:pt idx="136">
                  <c:v>1.856568</c:v>
                </c:pt>
                <c:pt idx="137">
                  <c:v>1.856568</c:v>
                </c:pt>
                <c:pt idx="138">
                  <c:v>1.856568</c:v>
                </c:pt>
                <c:pt idx="139">
                  <c:v>1.856568</c:v>
                </c:pt>
                <c:pt idx="140">
                  <c:v>1.856568</c:v>
                </c:pt>
              </c:numCache>
            </c:numRef>
          </c:yVal>
          <c:smooth val="0"/>
          <c:extLst>
            <c:ext xmlns:c16="http://schemas.microsoft.com/office/drawing/2014/chart" uri="{C3380CC4-5D6E-409C-BE32-E72D297353CC}">
              <c16:uniqueId val="{00000000-BA5F-4CF9-8EBD-E38EE5FE5813}"/>
            </c:ext>
          </c:extLst>
        </c:ser>
        <c:dLbls>
          <c:showLegendKey val="0"/>
          <c:showVal val="0"/>
          <c:showCatName val="0"/>
          <c:showSerName val="0"/>
          <c:showPercent val="0"/>
          <c:showBubbleSize val="0"/>
        </c:dLbls>
        <c:axId val="141161216"/>
        <c:axId val="141163136"/>
      </c:scatterChart>
      <c:valAx>
        <c:axId val="141161216"/>
        <c:scaling>
          <c:orientation val="minMax"/>
          <c:max val="7"/>
        </c:scaling>
        <c:delete val="0"/>
        <c:axPos val="b"/>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en-US"/>
                  <a:t>VCOMP</a:t>
                </a:r>
              </a:p>
            </c:rich>
          </c:tx>
          <c:layout>
            <c:manualLayout>
              <c:xMode val="edge"/>
              <c:yMode val="edge"/>
              <c:x val="0.41246711061002167"/>
              <c:y val="0.88043571717446201"/>
            </c:manualLayout>
          </c:layout>
          <c:overlay val="0"/>
          <c:spPr>
            <a:noFill/>
            <a:ln w="25400">
              <a:noFill/>
            </a:ln>
          </c:spPr>
        </c:title>
        <c:numFmt formatCode="General" sourceLinked="1"/>
        <c:majorTickMark val="out"/>
        <c:minorTickMark val="in"/>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41163136"/>
        <c:crosses val="autoZero"/>
        <c:crossBetween val="midCat"/>
        <c:minorUnit val="0.1"/>
      </c:valAx>
      <c:valAx>
        <c:axId val="141163136"/>
        <c:scaling>
          <c:orientation val="minMax"/>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25" b="1" i="0" u="none" strike="noStrike" baseline="0">
                    <a:solidFill>
                      <a:srgbClr val="000000"/>
                    </a:solidFill>
                    <a:latin typeface="Arial"/>
                    <a:ea typeface="Arial"/>
                    <a:cs typeface="Arial"/>
                  </a:defRPr>
                </a:pPr>
                <a:r>
                  <a:rPr lang="en-US"/>
                  <a:t>M1M2</a:t>
                </a:r>
              </a:p>
            </c:rich>
          </c:tx>
          <c:layout>
            <c:manualLayout>
              <c:xMode val="edge"/>
              <c:yMode val="edge"/>
              <c:x val="2.7851476922220113E-2"/>
              <c:y val="0.43695698556065893"/>
            </c:manualLayout>
          </c:layout>
          <c:overlay val="0"/>
          <c:spPr>
            <a:noFill/>
            <a:ln w="25400">
              <a:noFill/>
            </a:ln>
          </c:spPr>
        </c:title>
        <c:numFmt formatCode="0.000" sourceLinked="1"/>
        <c:majorTickMark val="out"/>
        <c:minorTickMark val="in"/>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41161216"/>
        <c:crosses val="autoZero"/>
        <c:crossBetween val="midCat"/>
      </c:valAx>
      <c:spPr>
        <a:noFill/>
        <a:ln w="12700">
          <a:solidFill>
            <a:srgbClr val="808080"/>
          </a:solidFill>
          <a:prstDash val="solid"/>
        </a:ln>
      </c:spPr>
    </c:plotArea>
    <c:plotVisOnly val="1"/>
    <c:dispBlanksAs val="gap"/>
    <c:showDLblsOverMax val="0"/>
  </c:chart>
  <c:spPr>
    <a:gradFill rotWithShape="0">
      <a:gsLst>
        <a:gs pos="0">
          <a:srgbClr val="FFFFFF"/>
        </a:gs>
        <a:gs pos="100000">
          <a:srgbClr val="FFFFCC"/>
        </a:gs>
      </a:gsLst>
      <a:lin ang="5400000" scaled="1"/>
    </a:gra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en-US"/>
              <a:t>Current Averaging Bode Plot</a:t>
            </a:r>
          </a:p>
        </c:rich>
      </c:tx>
      <c:layout>
        <c:manualLayout>
          <c:xMode val="edge"/>
          <c:yMode val="edge"/>
          <c:x val="0.36291390728476819"/>
          <c:y val="2.8790786948176585E-2"/>
        </c:manualLayout>
      </c:layout>
      <c:overlay val="0"/>
      <c:spPr>
        <a:noFill/>
        <a:ln w="25400">
          <a:noFill/>
        </a:ln>
      </c:spPr>
    </c:title>
    <c:autoTitleDeleted val="0"/>
    <c:plotArea>
      <c:layout>
        <c:manualLayout>
          <c:layoutTarget val="inner"/>
          <c:xMode val="edge"/>
          <c:yMode val="edge"/>
          <c:x val="0.10728476821192053"/>
          <c:y val="0.14395393474088292"/>
          <c:w val="0.78807947019867552"/>
          <c:h val="0.66410748560460653"/>
        </c:manualLayout>
      </c:layout>
      <c:scatterChart>
        <c:scatterStyle val="smoothMarker"/>
        <c:varyColors val="0"/>
        <c:ser>
          <c:idx val="0"/>
          <c:order val="0"/>
          <c:tx>
            <c:v>Gain</c:v>
          </c:tx>
          <c:spPr>
            <a:ln w="38100">
              <a:solidFill>
                <a:srgbClr val="FF0000"/>
              </a:solidFill>
              <a:prstDash val="solid"/>
            </a:ln>
          </c:spPr>
          <c:marker>
            <c:symbol val="none"/>
          </c:marker>
          <c:xVal>
            <c:numRef>
              <c:f>data!$B$205:$B$255</c:f>
              <c:numCache>
                <c:formatCode>General</c:formatCode>
                <c:ptCount val="5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pt idx="31">
                  <c:v>12589.254117941671</c:v>
                </c:pt>
                <c:pt idx="32">
                  <c:v>15848.931924611146</c:v>
                </c:pt>
                <c:pt idx="33">
                  <c:v>19952.623149688792</c:v>
                </c:pt>
                <c:pt idx="34">
                  <c:v>25118.86431509586</c:v>
                </c:pt>
                <c:pt idx="35">
                  <c:v>31622.77660168384</c:v>
                </c:pt>
                <c:pt idx="36">
                  <c:v>39810.717055349742</c:v>
                </c:pt>
                <c:pt idx="37">
                  <c:v>50118.723362727294</c:v>
                </c:pt>
                <c:pt idx="38">
                  <c:v>63095.734448019342</c:v>
                </c:pt>
                <c:pt idx="39">
                  <c:v>79432.823472428237</c:v>
                </c:pt>
                <c:pt idx="40">
                  <c:v>100000</c:v>
                </c:pt>
                <c:pt idx="41">
                  <c:v>125892.54117941685</c:v>
                </c:pt>
                <c:pt idx="42">
                  <c:v>158489.31924611164</c:v>
                </c:pt>
                <c:pt idx="43">
                  <c:v>199526.23149688813</c:v>
                </c:pt>
                <c:pt idx="44">
                  <c:v>251188.64315095844</c:v>
                </c:pt>
                <c:pt idx="45">
                  <c:v>316227.7660168382</c:v>
                </c:pt>
                <c:pt idx="46">
                  <c:v>398107.17055349716</c:v>
                </c:pt>
                <c:pt idx="47">
                  <c:v>501187.23362727347</c:v>
                </c:pt>
                <c:pt idx="48">
                  <c:v>630957.34448019415</c:v>
                </c:pt>
                <c:pt idx="49">
                  <c:v>794328.23472428333</c:v>
                </c:pt>
                <c:pt idx="50">
                  <c:v>1000000</c:v>
                </c:pt>
              </c:numCache>
            </c:numRef>
          </c:xVal>
          <c:yVal>
            <c:numRef>
              <c:f>data!$E$205:$E$255</c:f>
              <c:numCache>
                <c:formatCode>General</c:formatCode>
                <c:ptCount val="51"/>
                <c:pt idx="0">
                  <c:v>59.917640287261953</c:v>
                </c:pt>
                <c:pt idx="1">
                  <c:v>57.917632533259322</c:v>
                </c:pt>
                <c:pt idx="2">
                  <c:v>55.917620244021712</c:v>
                </c:pt>
                <c:pt idx="3">
                  <c:v>53.917600766963872</c:v>
                </c:pt>
                <c:pt idx="4">
                  <c:v>51.91756989808642</c:v>
                </c:pt>
                <c:pt idx="5">
                  <c:v>49.917520974662196</c:v>
                </c:pt>
                <c:pt idx="6">
                  <c:v>47.917443437389018</c:v>
                </c:pt>
                <c:pt idx="7">
                  <c:v>45.917320551928199</c:v>
                </c:pt>
                <c:pt idx="8">
                  <c:v>43.917125798720008</c:v>
                </c:pt>
                <c:pt idx="9">
                  <c:v>41.916817153574506</c:v>
                </c:pt>
                <c:pt idx="10">
                  <c:v>39.916328028911224</c:v>
                </c:pt>
                <c:pt idx="11">
                  <c:v>37.915552931385584</c:v>
                </c:pt>
                <c:pt idx="12">
                  <c:v>35.914324767885006</c:v>
                </c:pt>
                <c:pt idx="13">
                  <c:v>33.912378971078134</c:v>
                </c:pt>
                <c:pt idx="14">
                  <c:v>31.909296875614398</c:v>
                </c:pt>
                <c:pt idx="15">
                  <c:v>29.904416559518729</c:v>
                </c:pt>
                <c:pt idx="16">
                  <c:v>27.896692995981326</c:v>
                </c:pt>
                <c:pt idx="17">
                  <c:v>25.884480039439591</c:v>
                </c:pt>
                <c:pt idx="18">
                  <c:v>23.865193884901093</c:v>
                </c:pt>
                <c:pt idx="19">
                  <c:v>21.83480175067233</c:v>
                </c:pt>
                <c:pt idx="20">
                  <c:v>19.787064934409791</c:v>
                </c:pt>
                <c:pt idx="21">
                  <c:v>17.712465848988309</c:v>
                </c:pt>
                <c:pt idx="22">
                  <c:v>15.596797999933365</c:v>
                </c:pt>
                <c:pt idx="23">
                  <c:v>13.419562709364989</c:v>
                </c:pt>
                <c:pt idx="24">
                  <c:v>11.152688542348038</c:v>
                </c:pt>
                <c:pt idx="25">
                  <c:v>8.760690550355493</c:v>
                </c:pt>
                <c:pt idx="26">
                  <c:v>6.2038968919307615</c:v>
                </c:pt>
                <c:pt idx="27">
                  <c:v>3.4458461477585809</c:v>
                </c:pt>
                <c:pt idx="28">
                  <c:v>0.46341978461396716</c:v>
                </c:pt>
                <c:pt idx="29">
                  <c:v>-2.7451587671282214</c:v>
                </c:pt>
                <c:pt idx="30">
                  <c:v>-6.1596603526059521</c:v>
                </c:pt>
                <c:pt idx="31">
                  <c:v>-9.7449949489441217</c:v>
                </c:pt>
                <c:pt idx="32">
                  <c:v>-13.461399915153345</c:v>
                </c:pt>
                <c:pt idx="33">
                  <c:v>-17.272440183893899</c:v>
                </c:pt>
                <c:pt idx="34">
                  <c:v>-21.148840652259416</c:v>
                </c:pt>
                <c:pt idx="35">
                  <c:v>-25.069004953977224</c:v>
                </c:pt>
                <c:pt idx="36">
                  <c:v>-29.017866281160238</c:v>
                </c:pt>
                <c:pt idx="37">
                  <c:v>-32.98528735062834</c:v>
                </c:pt>
                <c:pt idx="38">
                  <c:v>-36.964604971399325</c:v>
                </c:pt>
                <c:pt idx="39">
                  <c:v>-40.951504410517018</c:v>
                </c:pt>
                <c:pt idx="40">
                  <c:v>-44.943218135745546</c:v>
                </c:pt>
                <c:pt idx="41">
                  <c:v>-48.937981703298462</c:v>
                </c:pt>
                <c:pt idx="42">
                  <c:v>-52.934674486208081</c:v>
                </c:pt>
                <c:pt idx="43">
                  <c:v>-56.932586476703648</c:v>
                </c:pt>
                <c:pt idx="44">
                  <c:v>-60.931268515057013</c:v>
                </c:pt>
                <c:pt idx="45">
                  <c:v>-64.930436731634643</c:v>
                </c:pt>
                <c:pt idx="46">
                  <c:v>-68.92991182979452</c:v>
                </c:pt>
                <c:pt idx="47">
                  <c:v>-72.929580606477984</c:v>
                </c:pt>
                <c:pt idx="48">
                  <c:v>-76.92937160569511</c:v>
                </c:pt>
                <c:pt idx="49">
                  <c:v>-80.929239729940747</c:v>
                </c:pt>
                <c:pt idx="50">
                  <c:v>-84.929156519904552</c:v>
                </c:pt>
              </c:numCache>
            </c:numRef>
          </c:yVal>
          <c:smooth val="1"/>
          <c:extLst>
            <c:ext xmlns:c16="http://schemas.microsoft.com/office/drawing/2014/chart" uri="{C3380CC4-5D6E-409C-BE32-E72D297353CC}">
              <c16:uniqueId val="{00000000-CC13-4CD7-A3F9-2F7603CBD881}"/>
            </c:ext>
          </c:extLst>
        </c:ser>
        <c:dLbls>
          <c:showLegendKey val="0"/>
          <c:showVal val="0"/>
          <c:showCatName val="0"/>
          <c:showSerName val="0"/>
          <c:showPercent val="0"/>
          <c:showBubbleSize val="0"/>
        </c:dLbls>
        <c:axId val="141275904"/>
        <c:axId val="141277824"/>
      </c:scatterChart>
      <c:scatterChart>
        <c:scatterStyle val="lineMarker"/>
        <c:varyColors val="0"/>
        <c:ser>
          <c:idx val="1"/>
          <c:order val="1"/>
          <c:tx>
            <c:v>Phase</c:v>
          </c:tx>
          <c:spPr>
            <a:ln w="38100">
              <a:solidFill>
                <a:srgbClr val="0000FF"/>
              </a:solidFill>
              <a:prstDash val="solid"/>
            </a:ln>
          </c:spPr>
          <c:marker>
            <c:symbol val="none"/>
          </c:marker>
          <c:xVal>
            <c:numRef>
              <c:f>data!$B$205:$B$255</c:f>
              <c:numCache>
                <c:formatCode>General</c:formatCode>
                <c:ptCount val="51"/>
                <c:pt idx="0">
                  <c:v>10</c:v>
                </c:pt>
                <c:pt idx="1">
                  <c:v>12.58925411794168</c:v>
                </c:pt>
                <c:pt idx="2">
                  <c:v>15.848931924611136</c:v>
                </c:pt>
                <c:pt idx="3">
                  <c:v>19.952623149688804</c:v>
                </c:pt>
                <c:pt idx="4">
                  <c:v>25.118864315095799</c:v>
                </c:pt>
                <c:pt idx="5">
                  <c:v>31.622776601683803</c:v>
                </c:pt>
                <c:pt idx="6">
                  <c:v>39.810717055349755</c:v>
                </c:pt>
                <c:pt idx="7">
                  <c:v>50.118723362727238</c:v>
                </c:pt>
                <c:pt idx="8">
                  <c:v>63.095734448019364</c:v>
                </c:pt>
                <c:pt idx="9">
                  <c:v>79.432823472428197</c:v>
                </c:pt>
                <c:pt idx="10">
                  <c:v>100</c:v>
                </c:pt>
                <c:pt idx="11">
                  <c:v>125.89254117941677</c:v>
                </c:pt>
                <c:pt idx="12">
                  <c:v>158.48931924611153</c:v>
                </c:pt>
                <c:pt idx="13">
                  <c:v>199.52623149688802</c:v>
                </c:pt>
                <c:pt idx="14">
                  <c:v>251.18864315095806</c:v>
                </c:pt>
                <c:pt idx="15">
                  <c:v>316.22776601683825</c:v>
                </c:pt>
                <c:pt idx="16">
                  <c:v>398.10717055349761</c:v>
                </c:pt>
                <c:pt idx="17">
                  <c:v>501.18723362727269</c:v>
                </c:pt>
                <c:pt idx="18">
                  <c:v>630.95734448019323</c:v>
                </c:pt>
                <c:pt idx="19">
                  <c:v>794.32823472428208</c:v>
                </c:pt>
                <c:pt idx="20">
                  <c:v>1000</c:v>
                </c:pt>
                <c:pt idx="21">
                  <c:v>1258.925411794168</c:v>
                </c:pt>
                <c:pt idx="22">
                  <c:v>1584.8931924611156</c:v>
                </c:pt>
                <c:pt idx="23">
                  <c:v>1995.2623149688804</c:v>
                </c:pt>
                <c:pt idx="24">
                  <c:v>2511.8864315095811</c:v>
                </c:pt>
                <c:pt idx="25">
                  <c:v>3162.2776601683804</c:v>
                </c:pt>
                <c:pt idx="26">
                  <c:v>3981.0717055349769</c:v>
                </c:pt>
                <c:pt idx="27">
                  <c:v>5011.8723362727324</c:v>
                </c:pt>
                <c:pt idx="28">
                  <c:v>6309.5734448019384</c:v>
                </c:pt>
                <c:pt idx="29">
                  <c:v>7943.2823472428154</c:v>
                </c:pt>
                <c:pt idx="30">
                  <c:v>10000</c:v>
                </c:pt>
                <c:pt idx="31">
                  <c:v>12589.254117941671</c:v>
                </c:pt>
                <c:pt idx="32">
                  <c:v>15848.931924611146</c:v>
                </c:pt>
                <c:pt idx="33">
                  <c:v>19952.623149688792</c:v>
                </c:pt>
                <c:pt idx="34">
                  <c:v>25118.86431509586</c:v>
                </c:pt>
                <c:pt idx="35">
                  <c:v>31622.77660168384</c:v>
                </c:pt>
                <c:pt idx="36">
                  <c:v>39810.717055349742</c:v>
                </c:pt>
                <c:pt idx="37">
                  <c:v>50118.723362727294</c:v>
                </c:pt>
                <c:pt idx="38">
                  <c:v>63095.734448019342</c:v>
                </c:pt>
                <c:pt idx="39">
                  <c:v>79432.823472428237</c:v>
                </c:pt>
                <c:pt idx="40">
                  <c:v>100000</c:v>
                </c:pt>
                <c:pt idx="41">
                  <c:v>125892.54117941685</c:v>
                </c:pt>
                <c:pt idx="42">
                  <c:v>158489.31924611164</c:v>
                </c:pt>
                <c:pt idx="43">
                  <c:v>199526.23149688813</c:v>
                </c:pt>
                <c:pt idx="44">
                  <c:v>251188.64315095844</c:v>
                </c:pt>
                <c:pt idx="45">
                  <c:v>316227.7660168382</c:v>
                </c:pt>
                <c:pt idx="46">
                  <c:v>398107.17055349716</c:v>
                </c:pt>
                <c:pt idx="47">
                  <c:v>501187.23362727347</c:v>
                </c:pt>
                <c:pt idx="48">
                  <c:v>630957.34448019415</c:v>
                </c:pt>
                <c:pt idx="49">
                  <c:v>794328.23472428333</c:v>
                </c:pt>
                <c:pt idx="50">
                  <c:v>1000000</c:v>
                </c:pt>
              </c:numCache>
            </c:numRef>
          </c:xVal>
          <c:yVal>
            <c:numRef>
              <c:f>data!$F$205:$F$255</c:f>
              <c:numCache>
                <c:formatCode>General</c:formatCode>
                <c:ptCount val="51"/>
                <c:pt idx="0">
                  <c:v>-90.100104956273896</c:v>
                </c:pt>
                <c:pt idx="1">
                  <c:v>-90.126024598297207</c:v>
                </c:pt>
                <c:pt idx="2">
                  <c:v>-90.158655419658146</c:v>
                </c:pt>
                <c:pt idx="3">
                  <c:v>-90.199735040938094</c:v>
                </c:pt>
                <c:pt idx="4">
                  <c:v>-90.251450922904667</c:v>
                </c:pt>
                <c:pt idx="5">
                  <c:v>-90.316556767983272</c:v>
                </c:pt>
                <c:pt idx="6">
                  <c:v>-90.398518987801594</c:v>
                </c:pt>
                <c:pt idx="7">
                  <c:v>-90.501700948817287</c:v>
                </c:pt>
                <c:pt idx="8">
                  <c:v>-90.631594632403164</c:v>
                </c:pt>
                <c:pt idx="9">
                  <c:v>-90.795111696356244</c:v>
                </c:pt>
                <c:pt idx="10">
                  <c:v>-91.000948740482571</c:v>
                </c:pt>
                <c:pt idx="11">
                  <c:v>-91.260044837880656</c:v>
                </c:pt>
                <c:pt idx="12">
                  <c:v>-91.586152928141118</c:v>
                </c:pt>
                <c:pt idx="13">
                  <c:v>-91.996549990972966</c:v>
                </c:pt>
                <c:pt idx="14">
                  <c:v>-92.512912871237631</c:v>
                </c:pt>
                <c:pt idx="15">
                  <c:v>-93.162384696506919</c:v>
                </c:pt>
                <c:pt idx="16">
                  <c:v>-93.978845836901357</c:v>
                </c:pt>
                <c:pt idx="17">
                  <c:v>-95.004373038677656</c:v>
                </c:pt>
                <c:pt idx="18">
                  <c:v>-96.290801171058675</c:v>
                </c:pt>
                <c:pt idx="19">
                  <c:v>-97.901158688884649</c:v>
                </c:pt>
                <c:pt idx="20">
                  <c:v>-99.910472180562508</c:v>
                </c:pt>
                <c:pt idx="21">
                  <c:v>-102.40494679507941</c:v>
                </c:pt>
                <c:pt idx="22">
                  <c:v>-105.47776414599585</c:v>
                </c:pt>
                <c:pt idx="23">
                  <c:v>-109.21880116339902</c:v>
                </c:pt>
                <c:pt idx="24">
                  <c:v>-113.6951074762506</c:v>
                </c:pt>
                <c:pt idx="25">
                  <c:v>-118.92071218397656</c:v>
                </c:pt>
                <c:pt idx="26">
                  <c:v>-124.82085532407724</c:v>
                </c:pt>
                <c:pt idx="27">
                  <c:v>-131.20719688389917</c:v>
                </c:pt>
                <c:pt idx="28">
                  <c:v>-137.78807663778474</c:v>
                </c:pt>
                <c:pt idx="29">
                  <c:v>-144.22520862066924</c:v>
                </c:pt>
                <c:pt idx="30">
                  <c:v>-150.21505595860444</c:v>
                </c:pt>
                <c:pt idx="31">
                  <c:v>-155.55160723816434</c:v>
                </c:pt>
                <c:pt idx="32">
                  <c:v>-160.14370000441946</c:v>
                </c:pt>
                <c:pt idx="33">
                  <c:v>-163.99405052373282</c:v>
                </c:pt>
                <c:pt idx="34">
                  <c:v>-167.16378478884616</c:v>
                </c:pt>
                <c:pt idx="35">
                  <c:v>-169.74081495189813</c:v>
                </c:pt>
                <c:pt idx="36">
                  <c:v>-171.81867829956474</c:v>
                </c:pt>
                <c:pt idx="37">
                  <c:v>-173.48503851425923</c:v>
                </c:pt>
                <c:pt idx="38">
                  <c:v>-174.81674903487314</c:v>
                </c:pt>
                <c:pt idx="39">
                  <c:v>-175.87865176595551</c:v>
                </c:pt>
                <c:pt idx="40">
                  <c:v>-176.72421283772945</c:v>
                </c:pt>
                <c:pt idx="41">
                  <c:v>-177.39690339104465</c:v>
                </c:pt>
                <c:pt idx="42">
                  <c:v>-177.93176181651961</c:v>
                </c:pt>
                <c:pt idx="43">
                  <c:v>-178.35687667049723</c:v>
                </c:pt>
                <c:pt idx="44">
                  <c:v>-178.6946886993517</c:v>
                </c:pt>
                <c:pt idx="45">
                  <c:v>-178.96308817891574</c:v>
                </c:pt>
                <c:pt idx="46">
                  <c:v>-179.17631847884189</c:v>
                </c:pt>
                <c:pt idx="47">
                  <c:v>-179.34570987758232</c:v>
                </c:pt>
                <c:pt idx="48">
                  <c:v>-179.48027054482148</c:v>
                </c:pt>
                <c:pt idx="49">
                  <c:v>-179.58716004061836</c:v>
                </c:pt>
                <c:pt idx="50">
                  <c:v>-179.67206746945962</c:v>
                </c:pt>
              </c:numCache>
            </c:numRef>
          </c:yVal>
          <c:smooth val="1"/>
          <c:extLst>
            <c:ext xmlns:c16="http://schemas.microsoft.com/office/drawing/2014/chart" uri="{C3380CC4-5D6E-409C-BE32-E72D297353CC}">
              <c16:uniqueId val="{00000001-CC13-4CD7-A3F9-2F7603CBD881}"/>
            </c:ext>
          </c:extLst>
        </c:ser>
        <c:dLbls>
          <c:showLegendKey val="0"/>
          <c:showVal val="0"/>
          <c:showCatName val="0"/>
          <c:showSerName val="0"/>
          <c:showPercent val="0"/>
          <c:showBubbleSize val="0"/>
        </c:dLbls>
        <c:axId val="142672640"/>
        <c:axId val="142674176"/>
      </c:scatterChart>
      <c:valAx>
        <c:axId val="141275904"/>
        <c:scaling>
          <c:logBase val="10"/>
          <c:orientation val="minMax"/>
          <c:max val="1000000"/>
          <c:min val="1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75" b="1" i="0" u="none" strike="noStrike" baseline="0">
                    <a:solidFill>
                      <a:srgbClr val="000000"/>
                    </a:solidFill>
                    <a:latin typeface="Arial"/>
                    <a:ea typeface="Arial"/>
                    <a:cs typeface="Arial"/>
                  </a:defRPr>
                </a:pPr>
                <a:r>
                  <a:rPr lang="en-US"/>
                  <a:t>Frequency (Hz)</a:t>
                </a:r>
              </a:p>
            </c:rich>
          </c:tx>
          <c:layout>
            <c:manualLayout>
              <c:xMode val="edge"/>
              <c:yMode val="edge"/>
              <c:x val="0.42781456953642383"/>
              <c:y val="0.869481765834932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de-DE"/>
          </a:p>
        </c:txPr>
        <c:crossAx val="141277824"/>
        <c:crossesAt val="-100"/>
        <c:crossBetween val="midCat"/>
        <c:majorUnit val="10"/>
        <c:minorUnit val="10"/>
      </c:valAx>
      <c:valAx>
        <c:axId val="141277824"/>
        <c:scaling>
          <c:orientation val="minMax"/>
          <c:max val="100"/>
          <c:min val="-100"/>
        </c:scaling>
        <c:delete val="0"/>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Gain (dB)</a:t>
                </a:r>
              </a:p>
            </c:rich>
          </c:tx>
          <c:layout>
            <c:manualLayout>
              <c:xMode val="edge"/>
              <c:yMode val="edge"/>
              <c:x val="2.119205298013245E-2"/>
              <c:y val="0.4107485604606526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de-DE"/>
          </a:p>
        </c:txPr>
        <c:crossAx val="141275904"/>
        <c:crossesAt val="10"/>
        <c:crossBetween val="midCat"/>
        <c:minorUnit val="10"/>
      </c:valAx>
      <c:valAx>
        <c:axId val="142672640"/>
        <c:scaling>
          <c:logBase val="10"/>
          <c:orientation val="minMax"/>
        </c:scaling>
        <c:delete val="1"/>
        <c:axPos val="t"/>
        <c:numFmt formatCode="General" sourceLinked="1"/>
        <c:majorTickMark val="out"/>
        <c:minorTickMark val="none"/>
        <c:tickLblPos val="none"/>
        <c:crossAx val="142674176"/>
        <c:crossesAt val="-180"/>
        <c:crossBetween val="midCat"/>
      </c:valAx>
      <c:valAx>
        <c:axId val="142674176"/>
        <c:scaling>
          <c:orientation val="minMax"/>
          <c:max val="-80"/>
          <c:min val="-18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US"/>
                  <a:t>Phase (degrees)</a:t>
                </a:r>
              </a:p>
            </c:rich>
          </c:tx>
          <c:layout>
            <c:manualLayout>
              <c:xMode val="edge"/>
              <c:yMode val="edge"/>
              <c:x val="0.94966887417218548"/>
              <c:y val="0.3742802303262955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de-DE"/>
          </a:p>
        </c:txPr>
        <c:crossAx val="142672640"/>
        <c:crosses val="max"/>
        <c:crossBetween val="midCat"/>
        <c:minorUnit val="10"/>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0662251655629139"/>
          <c:y val="0.93857965451055658"/>
          <c:w val="0.18940397350993377"/>
          <c:h val="4.7984644913627639E-2"/>
        </c:manualLayout>
      </c:layout>
      <c:overlay val="0"/>
      <c:spPr>
        <a:solidFill>
          <a:srgbClr val="FFFFFF"/>
        </a:solidFill>
        <a:ln w="3175">
          <a:solidFill>
            <a:srgbClr val="000000"/>
          </a:solidFill>
          <a:prstDash val="solid"/>
        </a:ln>
      </c:spPr>
      <c:txPr>
        <a:bodyPr/>
        <a:lstStyle/>
        <a:p>
          <a:pPr>
            <a:defRPr sz="98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de-DE"/>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en-US"/>
              <a:t>Input Voltage and Current Waveforms</a:t>
            </a:r>
          </a:p>
        </c:rich>
      </c:tx>
      <c:layout>
        <c:manualLayout>
          <c:xMode val="edge"/>
          <c:yMode val="edge"/>
          <c:x val="0.35723817910412919"/>
          <c:y val="3.3426183844011144E-2"/>
        </c:manualLayout>
      </c:layout>
      <c:overlay val="0"/>
      <c:spPr>
        <a:noFill/>
        <a:ln w="25400">
          <a:noFill/>
        </a:ln>
      </c:spPr>
    </c:title>
    <c:autoTitleDeleted val="0"/>
    <c:plotArea>
      <c:layout>
        <c:manualLayout>
          <c:layoutTarget val="inner"/>
          <c:xMode val="edge"/>
          <c:yMode val="edge"/>
          <c:x val="8.6321493092075832E-2"/>
          <c:y val="0.16991643454038996"/>
          <c:w val="0.83267040259586989"/>
          <c:h val="0.64345403899721454"/>
        </c:manualLayout>
      </c:layout>
      <c:scatterChart>
        <c:scatterStyle val="smoothMarker"/>
        <c:varyColors val="0"/>
        <c:ser>
          <c:idx val="0"/>
          <c:order val="0"/>
          <c:tx>
            <c:v>Vin</c:v>
          </c:tx>
          <c:spPr>
            <a:ln w="38100">
              <a:solidFill>
                <a:srgbClr val="FF0000"/>
              </a:solidFill>
              <a:prstDash val="soli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data!$C$273:$C$382</c:f>
              <c:numCache>
                <c:formatCode>General</c:formatCode>
                <c:ptCount val="110"/>
                <c:pt idx="0">
                  <c:v>0</c:v>
                </c:pt>
                <c:pt idx="1">
                  <c:v>2.8901891731710996</c:v>
                </c:pt>
                <c:pt idx="2">
                  <c:v>5.7799219519676202</c:v>
                </c:pt>
                <c:pt idx="3">
                  <c:v>8.6687420140849447</c:v>
                </c:pt>
                <c:pt idx="4">
                  <c:v>11.556193181346998</c:v>
                </c:pt>
                <c:pt idx="5">
                  <c:v>14.441819491742075</c:v>
                </c:pt>
                <c:pt idx="6">
                  <c:v>17.325165271424527</c:v>
                </c:pt>
                <c:pt idx="7">
                  <c:v>20.205775206670928</c:v>
                </c:pt>
                <c:pt idx="8">
                  <c:v>23.083194415779428</c:v>
                </c:pt>
                <c:pt idx="9">
                  <c:v>25.956968520900787</c:v>
                </c:pt>
                <c:pt idx="10">
                  <c:v>28.826643719789978</c:v>
                </c:pt>
                <c:pt idx="11">
                  <c:v>57.198674047916604</c:v>
                </c:pt>
                <c:pt idx="12">
                  <c:v>84.668647117475928</c:v>
                </c:pt>
                <c:pt idx="13">
                  <c:v>110.80334504339453</c:v>
                </c:pt>
                <c:pt idx="14">
                  <c:v>135.19060802726881</c:v>
                </c:pt>
                <c:pt idx="15">
                  <c:v>157.44583436359838</c:v>
                </c:pt>
                <c:pt idx="16">
                  <c:v>177.21804583843152</c:v>
                </c:pt>
                <c:pt idx="17">
                  <c:v>194.19542286546346</c:v>
                </c:pt>
                <c:pt idx="18">
                  <c:v>208.11022206718451</c:v>
                </c:pt>
                <c:pt idx="19">
                  <c:v>218.74299874788531</c:v>
                </c:pt>
                <c:pt idx="20">
                  <c:v>225.92606766759837</c:v>
                </c:pt>
                <c:pt idx="21">
                  <c:v>229.54614753850245</c:v>
                </c:pt>
                <c:pt idx="22">
                  <c:v>229.54614753850245</c:v>
                </c:pt>
                <c:pt idx="23">
                  <c:v>225.9260676675984</c:v>
                </c:pt>
                <c:pt idx="24">
                  <c:v>218.74299874788534</c:v>
                </c:pt>
                <c:pt idx="25">
                  <c:v>208.11022206718448</c:v>
                </c:pt>
                <c:pt idx="26">
                  <c:v>194.19542286546343</c:v>
                </c:pt>
                <c:pt idx="27">
                  <c:v>177.21804583843152</c:v>
                </c:pt>
                <c:pt idx="28">
                  <c:v>157.44583436359844</c:v>
                </c:pt>
                <c:pt idx="29">
                  <c:v>135.19060802726884</c:v>
                </c:pt>
                <c:pt idx="30">
                  <c:v>110.8033450433945</c:v>
                </c:pt>
                <c:pt idx="31">
                  <c:v>84.66864711747597</c:v>
                </c:pt>
                <c:pt idx="32">
                  <c:v>57.198674047916704</c:v>
                </c:pt>
                <c:pt idx="33">
                  <c:v>28.826643719790042</c:v>
                </c:pt>
                <c:pt idx="34">
                  <c:v>2.817841446289826E-14</c:v>
                </c:pt>
                <c:pt idx="35">
                  <c:v>28.826643719789985</c:v>
                </c:pt>
                <c:pt idx="36">
                  <c:v>57.198674047916555</c:v>
                </c:pt>
                <c:pt idx="37">
                  <c:v>84.668647117475928</c:v>
                </c:pt>
                <c:pt idx="38">
                  <c:v>110.80334504339454</c:v>
                </c:pt>
                <c:pt idx="39">
                  <c:v>135.19060802726872</c:v>
                </c:pt>
                <c:pt idx="40">
                  <c:v>157.44583436359832</c:v>
                </c:pt>
                <c:pt idx="41">
                  <c:v>177.21804583843155</c:v>
                </c:pt>
                <c:pt idx="42">
                  <c:v>194.19542286546351</c:v>
                </c:pt>
                <c:pt idx="43">
                  <c:v>208.11022206718457</c:v>
                </c:pt>
                <c:pt idx="44">
                  <c:v>218.74299874788531</c:v>
                </c:pt>
                <c:pt idx="45">
                  <c:v>225.9260676675984</c:v>
                </c:pt>
                <c:pt idx="46">
                  <c:v>229.54614753850245</c:v>
                </c:pt>
                <c:pt idx="47">
                  <c:v>229.54614753850245</c:v>
                </c:pt>
                <c:pt idx="48">
                  <c:v>225.9260676675984</c:v>
                </c:pt>
                <c:pt idx="49">
                  <c:v>218.74299874788534</c:v>
                </c:pt>
                <c:pt idx="50">
                  <c:v>208.11022206718457</c:v>
                </c:pt>
                <c:pt idx="51">
                  <c:v>194.19542286546343</c:v>
                </c:pt>
                <c:pt idx="52">
                  <c:v>177.21804583843161</c:v>
                </c:pt>
                <c:pt idx="53">
                  <c:v>157.44583436359846</c:v>
                </c:pt>
                <c:pt idx="54">
                  <c:v>135.19060802726887</c:v>
                </c:pt>
                <c:pt idx="55">
                  <c:v>110.8033450433947</c:v>
                </c:pt>
                <c:pt idx="56">
                  <c:v>84.668647117475913</c:v>
                </c:pt>
                <c:pt idx="57">
                  <c:v>57.198674047916732</c:v>
                </c:pt>
                <c:pt idx="58">
                  <c:v>28.82664371979007</c:v>
                </c:pt>
                <c:pt idx="59">
                  <c:v>5.635682892579652E-14</c:v>
                </c:pt>
                <c:pt idx="60">
                  <c:v>28.82664371978996</c:v>
                </c:pt>
                <c:pt idx="61">
                  <c:v>57.198674047916619</c:v>
                </c:pt>
                <c:pt idx="62">
                  <c:v>84.668647117475984</c:v>
                </c:pt>
                <c:pt idx="63">
                  <c:v>110.80334504339442</c:v>
                </c:pt>
                <c:pt idx="64">
                  <c:v>135.19060802726878</c:v>
                </c:pt>
                <c:pt idx="65">
                  <c:v>157.44583436359838</c:v>
                </c:pt>
                <c:pt idx="66">
                  <c:v>177.21804583843141</c:v>
                </c:pt>
                <c:pt idx="67">
                  <c:v>194.19542286546348</c:v>
                </c:pt>
                <c:pt idx="68">
                  <c:v>208.11022206718445</c:v>
                </c:pt>
                <c:pt idx="69">
                  <c:v>218.74299874788522</c:v>
                </c:pt>
                <c:pt idx="70">
                  <c:v>225.92606766759837</c:v>
                </c:pt>
                <c:pt idx="71">
                  <c:v>229.54614753850245</c:v>
                </c:pt>
                <c:pt idx="72">
                  <c:v>229.54614753850245</c:v>
                </c:pt>
                <c:pt idx="73">
                  <c:v>225.92606766759837</c:v>
                </c:pt>
                <c:pt idx="74">
                  <c:v>218.74299874788534</c:v>
                </c:pt>
                <c:pt idx="75">
                  <c:v>208.11022206718442</c:v>
                </c:pt>
                <c:pt idx="76">
                  <c:v>194.19542286546346</c:v>
                </c:pt>
                <c:pt idx="77">
                  <c:v>177.21804583843138</c:v>
                </c:pt>
                <c:pt idx="78">
                  <c:v>157.44583436359832</c:v>
                </c:pt>
                <c:pt idx="79">
                  <c:v>135.19060802726887</c:v>
                </c:pt>
                <c:pt idx="80">
                  <c:v>110.80334504339437</c:v>
                </c:pt>
                <c:pt idx="81">
                  <c:v>84.668647117475928</c:v>
                </c:pt>
                <c:pt idx="82">
                  <c:v>57.198674047916761</c:v>
                </c:pt>
                <c:pt idx="83">
                  <c:v>28.826643719789896</c:v>
                </c:pt>
                <c:pt idx="84">
                  <c:v>8.4535243388694781E-14</c:v>
                </c:pt>
                <c:pt idx="85">
                  <c:v>28.826643719789729</c:v>
                </c:pt>
                <c:pt idx="86">
                  <c:v>57.198674047916597</c:v>
                </c:pt>
                <c:pt idx="87">
                  <c:v>84.668647117475771</c:v>
                </c:pt>
                <c:pt idx="88">
                  <c:v>110.80334504339457</c:v>
                </c:pt>
                <c:pt idx="89">
                  <c:v>135.19060802726875</c:v>
                </c:pt>
                <c:pt idx="90">
                  <c:v>157.44583436359821</c:v>
                </c:pt>
                <c:pt idx="91">
                  <c:v>177.21804583843124</c:v>
                </c:pt>
                <c:pt idx="92">
                  <c:v>194.1954228654636</c:v>
                </c:pt>
                <c:pt idx="93">
                  <c:v>208.11022206718454</c:v>
                </c:pt>
                <c:pt idx="94">
                  <c:v>218.74299874788528</c:v>
                </c:pt>
                <c:pt idx="95">
                  <c:v>225.92606766759835</c:v>
                </c:pt>
                <c:pt idx="96">
                  <c:v>229.54614753850242</c:v>
                </c:pt>
                <c:pt idx="97">
                  <c:v>229.54614753850245</c:v>
                </c:pt>
                <c:pt idx="98">
                  <c:v>225.92606766759837</c:v>
                </c:pt>
                <c:pt idx="99">
                  <c:v>218.74299874788537</c:v>
                </c:pt>
                <c:pt idx="100">
                  <c:v>208.11022206718459</c:v>
                </c:pt>
                <c:pt idx="101">
                  <c:v>194.19542286546368</c:v>
                </c:pt>
                <c:pt idx="102">
                  <c:v>177.21804583843164</c:v>
                </c:pt>
                <c:pt idx="103">
                  <c:v>157.44583436359835</c:v>
                </c:pt>
                <c:pt idx="104">
                  <c:v>135.19060802726889</c:v>
                </c:pt>
                <c:pt idx="105">
                  <c:v>110.80334504339476</c:v>
                </c:pt>
                <c:pt idx="106">
                  <c:v>84.668647117475956</c:v>
                </c:pt>
                <c:pt idx="107">
                  <c:v>57.198674047916789</c:v>
                </c:pt>
                <c:pt idx="108">
                  <c:v>28.826643719789921</c:v>
                </c:pt>
                <c:pt idx="109">
                  <c:v>1.1271365785159304E-13</c:v>
                </c:pt>
              </c:numCache>
            </c:numRef>
          </c:yVal>
          <c:smooth val="1"/>
          <c:extLst>
            <c:ext xmlns:c16="http://schemas.microsoft.com/office/drawing/2014/chart" uri="{C3380CC4-5D6E-409C-BE32-E72D297353CC}">
              <c16:uniqueId val="{00000000-7B79-4539-A3B3-CF8759A7C96E}"/>
            </c:ext>
          </c:extLst>
        </c:ser>
        <c:dLbls>
          <c:showLegendKey val="0"/>
          <c:showVal val="0"/>
          <c:showCatName val="0"/>
          <c:showSerName val="0"/>
          <c:showPercent val="0"/>
          <c:showBubbleSize val="0"/>
        </c:dLbls>
        <c:axId val="142705408"/>
        <c:axId val="142706944"/>
      </c:scatterChart>
      <c:scatterChart>
        <c:scatterStyle val="lineMarker"/>
        <c:varyColors val="0"/>
        <c:ser>
          <c:idx val="1"/>
          <c:order val="1"/>
          <c:tx>
            <c:v>Iin</c:v>
          </c:tx>
          <c:spPr>
            <a:ln w="38100">
              <a:solidFill>
                <a:srgbClr val="0000FF"/>
              </a:solidFill>
              <a:prstDash val="solid"/>
            </a:ln>
          </c:spPr>
          <c:marker>
            <c:symbol val="none"/>
          </c:marker>
          <c:xVal>
            <c:numRef>
              <c:f>data!$A$273:$A$382</c:f>
              <c:numCache>
                <c:formatCode>General</c:formatCode>
                <c:ptCount val="110"/>
                <c:pt idx="0">
                  <c:v>0</c:v>
                </c:pt>
                <c:pt idx="1">
                  <c:v>0.1</c:v>
                </c:pt>
                <c:pt idx="2">
                  <c:v>0.2</c:v>
                </c:pt>
                <c:pt idx="3">
                  <c:v>0.3</c:v>
                </c:pt>
                <c:pt idx="4">
                  <c:v>0.4</c:v>
                </c:pt>
                <c:pt idx="5">
                  <c:v>0.5</c:v>
                </c:pt>
                <c:pt idx="6">
                  <c:v>0.6</c:v>
                </c:pt>
                <c:pt idx="7">
                  <c:v>0.7</c:v>
                </c:pt>
                <c:pt idx="8">
                  <c:v>0.8</c:v>
                </c:pt>
                <c:pt idx="9">
                  <c:v>0.9</c:v>
                </c:pt>
                <c:pt idx="10">
                  <c:v>1</c:v>
                </c:pt>
                <c:pt idx="11">
                  <c:v>2</c:v>
                </c:pt>
                <c:pt idx="12">
                  <c:v>3</c:v>
                </c:pt>
                <c:pt idx="13">
                  <c:v>4</c:v>
                </c:pt>
                <c:pt idx="14">
                  <c:v>5</c:v>
                </c:pt>
                <c:pt idx="15">
                  <c:v>6</c:v>
                </c:pt>
                <c:pt idx="16">
                  <c:v>7</c:v>
                </c:pt>
                <c:pt idx="17">
                  <c:v>8</c:v>
                </c:pt>
                <c:pt idx="18">
                  <c:v>9</c:v>
                </c:pt>
                <c:pt idx="19">
                  <c:v>10</c:v>
                </c:pt>
                <c:pt idx="20">
                  <c:v>11</c:v>
                </c:pt>
                <c:pt idx="21">
                  <c:v>12</c:v>
                </c:pt>
                <c:pt idx="22">
                  <c:v>13</c:v>
                </c:pt>
                <c:pt idx="23">
                  <c:v>14</c:v>
                </c:pt>
                <c:pt idx="24">
                  <c:v>15</c:v>
                </c:pt>
                <c:pt idx="25">
                  <c:v>16</c:v>
                </c:pt>
                <c:pt idx="26">
                  <c:v>17</c:v>
                </c:pt>
                <c:pt idx="27">
                  <c:v>18</c:v>
                </c:pt>
                <c:pt idx="28">
                  <c:v>19</c:v>
                </c:pt>
                <c:pt idx="29">
                  <c:v>20</c:v>
                </c:pt>
                <c:pt idx="30">
                  <c:v>21</c:v>
                </c:pt>
                <c:pt idx="31">
                  <c:v>22</c:v>
                </c:pt>
                <c:pt idx="32">
                  <c:v>23</c:v>
                </c:pt>
                <c:pt idx="33">
                  <c:v>24</c:v>
                </c:pt>
                <c:pt idx="34">
                  <c:v>25</c:v>
                </c:pt>
                <c:pt idx="35">
                  <c:v>26</c:v>
                </c:pt>
                <c:pt idx="36">
                  <c:v>27</c:v>
                </c:pt>
                <c:pt idx="37">
                  <c:v>28</c:v>
                </c:pt>
                <c:pt idx="38">
                  <c:v>29</c:v>
                </c:pt>
                <c:pt idx="39">
                  <c:v>30</c:v>
                </c:pt>
                <c:pt idx="40">
                  <c:v>31</c:v>
                </c:pt>
                <c:pt idx="41">
                  <c:v>32</c:v>
                </c:pt>
                <c:pt idx="42">
                  <c:v>33</c:v>
                </c:pt>
                <c:pt idx="43">
                  <c:v>34</c:v>
                </c:pt>
                <c:pt idx="44">
                  <c:v>35</c:v>
                </c:pt>
                <c:pt idx="45">
                  <c:v>36</c:v>
                </c:pt>
                <c:pt idx="46">
                  <c:v>37</c:v>
                </c:pt>
                <c:pt idx="47">
                  <c:v>38</c:v>
                </c:pt>
                <c:pt idx="48">
                  <c:v>39</c:v>
                </c:pt>
                <c:pt idx="49">
                  <c:v>40</c:v>
                </c:pt>
                <c:pt idx="50">
                  <c:v>41</c:v>
                </c:pt>
                <c:pt idx="51">
                  <c:v>42</c:v>
                </c:pt>
                <c:pt idx="52">
                  <c:v>43</c:v>
                </c:pt>
                <c:pt idx="53">
                  <c:v>44</c:v>
                </c:pt>
                <c:pt idx="54">
                  <c:v>45</c:v>
                </c:pt>
                <c:pt idx="55">
                  <c:v>46</c:v>
                </c:pt>
                <c:pt idx="56">
                  <c:v>47</c:v>
                </c:pt>
                <c:pt idx="57">
                  <c:v>48</c:v>
                </c:pt>
                <c:pt idx="58">
                  <c:v>49</c:v>
                </c:pt>
                <c:pt idx="59">
                  <c:v>50</c:v>
                </c:pt>
                <c:pt idx="60">
                  <c:v>51</c:v>
                </c:pt>
                <c:pt idx="61">
                  <c:v>52</c:v>
                </c:pt>
                <c:pt idx="62">
                  <c:v>53</c:v>
                </c:pt>
                <c:pt idx="63">
                  <c:v>54</c:v>
                </c:pt>
                <c:pt idx="64">
                  <c:v>55</c:v>
                </c:pt>
                <c:pt idx="65">
                  <c:v>56</c:v>
                </c:pt>
                <c:pt idx="66">
                  <c:v>57</c:v>
                </c:pt>
                <c:pt idx="67">
                  <c:v>58</c:v>
                </c:pt>
                <c:pt idx="68">
                  <c:v>59</c:v>
                </c:pt>
                <c:pt idx="69">
                  <c:v>60</c:v>
                </c:pt>
                <c:pt idx="70">
                  <c:v>61</c:v>
                </c:pt>
                <c:pt idx="71">
                  <c:v>62</c:v>
                </c:pt>
                <c:pt idx="72">
                  <c:v>63</c:v>
                </c:pt>
                <c:pt idx="73">
                  <c:v>64</c:v>
                </c:pt>
                <c:pt idx="74">
                  <c:v>65</c:v>
                </c:pt>
                <c:pt idx="75">
                  <c:v>66</c:v>
                </c:pt>
                <c:pt idx="76">
                  <c:v>67</c:v>
                </c:pt>
                <c:pt idx="77">
                  <c:v>68</c:v>
                </c:pt>
                <c:pt idx="78">
                  <c:v>69</c:v>
                </c:pt>
                <c:pt idx="79">
                  <c:v>70</c:v>
                </c:pt>
                <c:pt idx="80">
                  <c:v>71</c:v>
                </c:pt>
                <c:pt idx="81">
                  <c:v>72</c:v>
                </c:pt>
                <c:pt idx="82">
                  <c:v>73</c:v>
                </c:pt>
                <c:pt idx="83">
                  <c:v>74</c:v>
                </c:pt>
                <c:pt idx="84">
                  <c:v>75</c:v>
                </c:pt>
                <c:pt idx="85">
                  <c:v>76</c:v>
                </c:pt>
                <c:pt idx="86">
                  <c:v>77</c:v>
                </c:pt>
                <c:pt idx="87">
                  <c:v>78</c:v>
                </c:pt>
                <c:pt idx="88">
                  <c:v>79</c:v>
                </c:pt>
                <c:pt idx="89">
                  <c:v>80</c:v>
                </c:pt>
                <c:pt idx="90">
                  <c:v>81</c:v>
                </c:pt>
                <c:pt idx="91">
                  <c:v>82</c:v>
                </c:pt>
                <c:pt idx="92">
                  <c:v>83</c:v>
                </c:pt>
                <c:pt idx="93">
                  <c:v>84</c:v>
                </c:pt>
                <c:pt idx="94">
                  <c:v>85</c:v>
                </c:pt>
                <c:pt idx="95">
                  <c:v>86</c:v>
                </c:pt>
                <c:pt idx="96">
                  <c:v>87</c:v>
                </c:pt>
                <c:pt idx="97">
                  <c:v>88</c:v>
                </c:pt>
                <c:pt idx="98">
                  <c:v>89</c:v>
                </c:pt>
                <c:pt idx="99">
                  <c:v>90</c:v>
                </c:pt>
                <c:pt idx="100">
                  <c:v>91</c:v>
                </c:pt>
                <c:pt idx="101">
                  <c:v>92</c:v>
                </c:pt>
                <c:pt idx="102">
                  <c:v>93</c:v>
                </c:pt>
                <c:pt idx="103">
                  <c:v>94</c:v>
                </c:pt>
                <c:pt idx="104">
                  <c:v>95</c:v>
                </c:pt>
                <c:pt idx="105">
                  <c:v>96</c:v>
                </c:pt>
                <c:pt idx="106">
                  <c:v>97</c:v>
                </c:pt>
                <c:pt idx="107">
                  <c:v>98</c:v>
                </c:pt>
                <c:pt idx="108">
                  <c:v>99</c:v>
                </c:pt>
                <c:pt idx="109">
                  <c:v>100</c:v>
                </c:pt>
              </c:numCache>
            </c:numRef>
          </c:xVal>
          <c:yVal>
            <c:numRef>
              <c:f>data!$D$273:$D$382</c:f>
              <c:numCache>
                <c:formatCode>General</c:formatCode>
                <c:ptCount val="110"/>
                <c:pt idx="0">
                  <c:v>0</c:v>
                </c:pt>
                <c:pt idx="1">
                  <c:v>7.7394923239648097E-2</c:v>
                </c:pt>
                <c:pt idx="2">
                  <c:v>0.15477762492372629</c:v>
                </c:pt>
                <c:pt idx="3">
                  <c:v>0.23213588542658986</c:v>
                </c:pt>
                <c:pt idx="4">
                  <c:v>0.30945748898213993</c:v>
                </c:pt>
                <c:pt idx="5">
                  <c:v>0.38673022561283477</c:v>
                </c:pt>
                <c:pt idx="6">
                  <c:v>0.46394189305778644</c:v>
                </c:pt>
                <c:pt idx="7">
                  <c:v>0.54108029869963903</c:v>
                </c:pt>
                <c:pt idx="8">
                  <c:v>0.61813326148992542</c:v>
                </c:pt>
                <c:pt idx="9">
                  <c:v>0.69508861387259413</c:v>
                </c:pt>
                <c:pt idx="10">
                  <c:v>0.77193420370540977</c:v>
                </c:pt>
                <c:pt idx="11">
                  <c:v>1.5316945438872438</c:v>
                </c:pt>
                <c:pt idx="12">
                  <c:v>2.2672991461220064</c:v>
                </c:pt>
                <c:pt idx="13">
                  <c:v>2.9671470864035672</c:v>
                </c:pt>
                <c:pt idx="14">
                  <c:v>3.6202013446447885</c:v>
                </c:pt>
                <c:pt idx="15">
                  <c:v>4.2161628650775045</c:v>
                </c:pt>
                <c:pt idx="16">
                  <c:v>4.7456329785143341</c:v>
                </c:pt>
                <c:pt idx="17">
                  <c:v>5.2002616249762639</c:v>
                </c:pt>
                <c:pt idx="18">
                  <c:v>5.5728790391266019</c:v>
                </c:pt>
                <c:pt idx="19">
                  <c:v>5.85760882175334</c:v>
                </c:pt>
                <c:pt idx="20">
                  <c:v>6.0499606140951299</c:v>
                </c:pt>
                <c:pt idx="21">
                  <c:v>6.1469009134813488</c:v>
                </c:pt>
                <c:pt idx="22">
                  <c:v>6.1469009134813488</c:v>
                </c:pt>
                <c:pt idx="23">
                  <c:v>6.0499606140951299</c:v>
                </c:pt>
                <c:pt idx="24">
                  <c:v>5.8576088217533409</c:v>
                </c:pt>
                <c:pt idx="25">
                  <c:v>5.572879039126601</c:v>
                </c:pt>
                <c:pt idx="26">
                  <c:v>5.200261624976263</c:v>
                </c:pt>
                <c:pt idx="27">
                  <c:v>4.7456329785143341</c:v>
                </c:pt>
                <c:pt idx="28">
                  <c:v>4.2161628650775054</c:v>
                </c:pt>
                <c:pt idx="29">
                  <c:v>3.6202013446447894</c:v>
                </c:pt>
                <c:pt idx="30">
                  <c:v>2.9671470864035663</c:v>
                </c:pt>
                <c:pt idx="31">
                  <c:v>2.2672991461220073</c:v>
                </c:pt>
                <c:pt idx="32">
                  <c:v>1.5316945438872467</c:v>
                </c:pt>
                <c:pt idx="33">
                  <c:v>0.77193420370541144</c:v>
                </c:pt>
                <c:pt idx="34">
                  <c:v>7.5457559823953198E-16</c:v>
                </c:pt>
                <c:pt idx="35">
                  <c:v>0.77193420370540988</c:v>
                </c:pt>
                <c:pt idx="36">
                  <c:v>1.5316945438872425</c:v>
                </c:pt>
                <c:pt idx="37">
                  <c:v>2.2672991461220064</c:v>
                </c:pt>
                <c:pt idx="38">
                  <c:v>2.9671470864035676</c:v>
                </c:pt>
                <c:pt idx="39">
                  <c:v>3.6202013446447863</c:v>
                </c:pt>
                <c:pt idx="40">
                  <c:v>4.2161628650775027</c:v>
                </c:pt>
                <c:pt idx="41">
                  <c:v>4.745632978514335</c:v>
                </c:pt>
                <c:pt idx="42">
                  <c:v>5.2002616249762665</c:v>
                </c:pt>
                <c:pt idx="43">
                  <c:v>5.5728790391266028</c:v>
                </c:pt>
                <c:pt idx="44">
                  <c:v>5.85760882175334</c:v>
                </c:pt>
                <c:pt idx="45">
                  <c:v>6.0499606140951299</c:v>
                </c:pt>
                <c:pt idx="46">
                  <c:v>6.1469009134813488</c:v>
                </c:pt>
                <c:pt idx="47">
                  <c:v>6.1469009134813488</c:v>
                </c:pt>
                <c:pt idx="48">
                  <c:v>6.0499606140951299</c:v>
                </c:pt>
                <c:pt idx="49">
                  <c:v>5.8576088217533409</c:v>
                </c:pt>
                <c:pt idx="50">
                  <c:v>5.5728790391266028</c:v>
                </c:pt>
                <c:pt idx="51">
                  <c:v>5.200261624976263</c:v>
                </c:pt>
                <c:pt idx="52">
                  <c:v>4.7456329785143367</c:v>
                </c:pt>
                <c:pt idx="53">
                  <c:v>4.2161628650775063</c:v>
                </c:pt>
                <c:pt idx="54">
                  <c:v>3.6202013446447903</c:v>
                </c:pt>
                <c:pt idx="55">
                  <c:v>2.9671470864035716</c:v>
                </c:pt>
                <c:pt idx="56">
                  <c:v>2.2672991461220064</c:v>
                </c:pt>
                <c:pt idx="57">
                  <c:v>1.5316945438872471</c:v>
                </c:pt>
                <c:pt idx="58">
                  <c:v>0.77193420370541221</c:v>
                </c:pt>
                <c:pt idx="59">
                  <c:v>1.509151196479064E-15</c:v>
                </c:pt>
                <c:pt idx="60">
                  <c:v>0.77193420370540933</c:v>
                </c:pt>
                <c:pt idx="61">
                  <c:v>1.5316945438872442</c:v>
                </c:pt>
                <c:pt idx="62">
                  <c:v>2.2672991461220082</c:v>
                </c:pt>
                <c:pt idx="63">
                  <c:v>2.9671470864035641</c:v>
                </c:pt>
                <c:pt idx="64">
                  <c:v>3.6202013446447876</c:v>
                </c:pt>
                <c:pt idx="65">
                  <c:v>4.2161628650775045</c:v>
                </c:pt>
                <c:pt idx="66">
                  <c:v>4.7456329785143314</c:v>
                </c:pt>
                <c:pt idx="67">
                  <c:v>5.2002616249762657</c:v>
                </c:pt>
                <c:pt idx="68">
                  <c:v>5.5728790391266001</c:v>
                </c:pt>
                <c:pt idx="69">
                  <c:v>5.8576088217533373</c:v>
                </c:pt>
                <c:pt idx="70">
                  <c:v>6.0499606140951299</c:v>
                </c:pt>
                <c:pt idx="71">
                  <c:v>6.1469009134813488</c:v>
                </c:pt>
                <c:pt idx="72">
                  <c:v>6.1469009134813488</c:v>
                </c:pt>
                <c:pt idx="73">
                  <c:v>6.0499606140951299</c:v>
                </c:pt>
                <c:pt idx="74">
                  <c:v>5.8576088217533409</c:v>
                </c:pt>
                <c:pt idx="75">
                  <c:v>5.5728790391266001</c:v>
                </c:pt>
                <c:pt idx="76">
                  <c:v>5.2002616249762639</c:v>
                </c:pt>
                <c:pt idx="77">
                  <c:v>4.7456329785143305</c:v>
                </c:pt>
                <c:pt idx="78">
                  <c:v>4.2161628650775027</c:v>
                </c:pt>
                <c:pt idx="79">
                  <c:v>3.6202013446447903</c:v>
                </c:pt>
                <c:pt idx="80">
                  <c:v>2.9671470864035627</c:v>
                </c:pt>
                <c:pt idx="81">
                  <c:v>2.2672991461220064</c:v>
                </c:pt>
                <c:pt idx="82">
                  <c:v>1.5316945438872478</c:v>
                </c:pt>
                <c:pt idx="83">
                  <c:v>0.77193420370540755</c:v>
                </c:pt>
                <c:pt idx="84">
                  <c:v>2.2637267947185956E-15</c:v>
                </c:pt>
                <c:pt idx="85">
                  <c:v>0.77193420370540311</c:v>
                </c:pt>
                <c:pt idx="86">
                  <c:v>1.5316945438872438</c:v>
                </c:pt>
                <c:pt idx="87">
                  <c:v>2.2672991461220025</c:v>
                </c:pt>
                <c:pt idx="88">
                  <c:v>2.9671470864035681</c:v>
                </c:pt>
                <c:pt idx="89">
                  <c:v>3.6202013446447872</c:v>
                </c:pt>
                <c:pt idx="90">
                  <c:v>4.2161628650774992</c:v>
                </c:pt>
                <c:pt idx="91">
                  <c:v>4.745632978514327</c:v>
                </c:pt>
                <c:pt idx="92">
                  <c:v>5.2002616249762683</c:v>
                </c:pt>
                <c:pt idx="93">
                  <c:v>5.5728790391266028</c:v>
                </c:pt>
                <c:pt idx="94">
                  <c:v>5.85760882175334</c:v>
                </c:pt>
                <c:pt idx="95">
                  <c:v>6.0499606140951281</c:v>
                </c:pt>
                <c:pt idx="96">
                  <c:v>6.146900913481347</c:v>
                </c:pt>
                <c:pt idx="97">
                  <c:v>6.1469009134813488</c:v>
                </c:pt>
                <c:pt idx="98">
                  <c:v>6.0499606140951299</c:v>
                </c:pt>
                <c:pt idx="99">
                  <c:v>5.8576088217533417</c:v>
                </c:pt>
                <c:pt idx="100">
                  <c:v>5.5728790391266045</c:v>
                </c:pt>
                <c:pt idx="101">
                  <c:v>5.2002616249762701</c:v>
                </c:pt>
                <c:pt idx="102">
                  <c:v>4.7456329785143367</c:v>
                </c:pt>
                <c:pt idx="103">
                  <c:v>4.2161628650775036</c:v>
                </c:pt>
                <c:pt idx="104">
                  <c:v>3.6202013446447907</c:v>
                </c:pt>
                <c:pt idx="105">
                  <c:v>2.9671470864035734</c:v>
                </c:pt>
                <c:pt idx="106">
                  <c:v>2.2672991461220073</c:v>
                </c:pt>
                <c:pt idx="107">
                  <c:v>1.5316945438872487</c:v>
                </c:pt>
                <c:pt idx="108">
                  <c:v>0.77193420370540822</c:v>
                </c:pt>
                <c:pt idx="109">
                  <c:v>3.0183023929581279E-15</c:v>
                </c:pt>
              </c:numCache>
            </c:numRef>
          </c:yVal>
          <c:smooth val="0"/>
          <c:extLst>
            <c:ext xmlns:c16="http://schemas.microsoft.com/office/drawing/2014/chart" uri="{C3380CC4-5D6E-409C-BE32-E72D297353CC}">
              <c16:uniqueId val="{00000001-7B79-4539-A3B3-CF8759A7C96E}"/>
            </c:ext>
          </c:extLst>
        </c:ser>
        <c:dLbls>
          <c:showLegendKey val="0"/>
          <c:showVal val="0"/>
          <c:showCatName val="0"/>
          <c:showSerName val="0"/>
          <c:showPercent val="0"/>
          <c:showBubbleSize val="0"/>
        </c:dLbls>
        <c:axId val="142709120"/>
        <c:axId val="142710656"/>
      </c:scatterChart>
      <c:valAx>
        <c:axId val="142705408"/>
        <c:scaling>
          <c:orientation val="minMax"/>
          <c:max val="10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42706944"/>
        <c:crosses val="autoZero"/>
        <c:crossBetween val="midCat"/>
      </c:valAx>
      <c:valAx>
        <c:axId val="14270694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Vin (V)</a:t>
                </a:r>
              </a:p>
            </c:rich>
          </c:tx>
          <c:layout>
            <c:manualLayout>
              <c:xMode val="edge"/>
              <c:yMode val="edge"/>
              <c:x val="2.1248367530357127E-2"/>
              <c:y val="0.4345403899721448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42705408"/>
        <c:crosses val="autoZero"/>
        <c:crossBetween val="midCat"/>
      </c:valAx>
      <c:valAx>
        <c:axId val="142709120"/>
        <c:scaling>
          <c:orientation val="minMax"/>
        </c:scaling>
        <c:delete val="1"/>
        <c:axPos val="b"/>
        <c:numFmt formatCode="General" sourceLinked="1"/>
        <c:majorTickMark val="out"/>
        <c:minorTickMark val="none"/>
        <c:tickLblPos val="none"/>
        <c:crossAx val="142710656"/>
        <c:crosses val="autoZero"/>
        <c:crossBetween val="midCat"/>
      </c:valAx>
      <c:valAx>
        <c:axId val="142710656"/>
        <c:scaling>
          <c:orientation val="minMax"/>
        </c:scaling>
        <c:delete val="0"/>
        <c:axPos val="r"/>
        <c:title>
          <c:tx>
            <c:rich>
              <a:bodyPr rot="5400000" vert="horz"/>
              <a:lstStyle/>
              <a:p>
                <a:pPr algn="ctr">
                  <a:defRPr sz="825" b="1" i="0" u="none" strike="noStrike" baseline="0">
                    <a:solidFill>
                      <a:srgbClr val="000000"/>
                    </a:solidFill>
                    <a:latin typeface="Arial"/>
                    <a:ea typeface="Arial"/>
                    <a:cs typeface="Arial"/>
                  </a:defRPr>
                </a:pPr>
                <a:r>
                  <a:rPr lang="en-US"/>
                  <a:t>Iin (A)</a:t>
                </a:r>
              </a:p>
            </c:rich>
          </c:tx>
          <c:layout>
            <c:manualLayout>
              <c:xMode val="edge"/>
              <c:yMode val="edge"/>
              <c:x val="0.95219246995412876"/>
              <c:y val="0.44011142061281339"/>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42709120"/>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43559153437232112"/>
          <c:y val="0.91922005571030641"/>
          <c:w val="0.13413032003537936"/>
          <c:h val="6.128133704735375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Voltage Open-Loop Bode Plot</a:t>
            </a:r>
          </a:p>
        </c:rich>
      </c:tx>
      <c:layout>
        <c:manualLayout>
          <c:xMode val="edge"/>
          <c:yMode val="edge"/>
          <c:x val="0.34661399533895065"/>
          <c:y val="2.9013567053734601E-2"/>
        </c:manualLayout>
      </c:layout>
      <c:overlay val="0"/>
      <c:spPr>
        <a:noFill/>
        <a:ln w="25400">
          <a:noFill/>
        </a:ln>
      </c:spPr>
    </c:title>
    <c:autoTitleDeleted val="0"/>
    <c:plotArea>
      <c:layout>
        <c:manualLayout>
          <c:layoutTarget val="inner"/>
          <c:xMode val="edge"/>
          <c:yMode val="edge"/>
          <c:x val="0.10756986062243296"/>
          <c:y val="0.1470020730722553"/>
          <c:w val="0.78618959862321369"/>
          <c:h val="0.65957509102156653"/>
        </c:manualLayout>
      </c:layout>
      <c:scatterChart>
        <c:scatterStyle val="smoothMarker"/>
        <c:varyColors val="0"/>
        <c:ser>
          <c:idx val="0"/>
          <c:order val="0"/>
          <c:tx>
            <c:v>Total Open Loop Gain</c:v>
          </c:tx>
          <c:spPr>
            <a:ln w="38100">
              <a:solidFill>
                <a:srgbClr val="FF00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data!$N$205:$N$255</c:f>
              <c:numCache>
                <c:formatCode>General</c:formatCode>
                <c:ptCount val="51"/>
                <c:pt idx="0">
                  <c:v>20.958450737211152</c:v>
                </c:pt>
                <c:pt idx="1">
                  <c:v>20.958309196499364</c:v>
                </c:pt>
                <c:pt idx="2">
                  <c:v>20.958084879037557</c:v>
                </c:pt>
                <c:pt idx="3">
                  <c:v>20.957729383550792</c:v>
                </c:pt>
                <c:pt idx="4">
                  <c:v>20.957166020774039</c:v>
                </c:pt>
                <c:pt idx="5">
                  <c:v>20.956273300611251</c:v>
                </c:pt>
                <c:pt idx="6">
                  <c:v>20.954858810283557</c:v>
                </c:pt>
                <c:pt idx="7">
                  <c:v>20.952617937453049</c:v>
                </c:pt>
                <c:pt idx="8">
                  <c:v>20.949068760103394</c:v>
                </c:pt>
                <c:pt idx="9">
                  <c:v>20.943449627673125</c:v>
                </c:pt>
                <c:pt idx="10">
                  <c:v>20.934558768681232</c:v>
                </c:pt>
                <c:pt idx="11">
                  <c:v>20.920504884453162</c:v>
                </c:pt>
                <c:pt idx="12">
                  <c:v>20.898323720259278</c:v>
                </c:pt>
                <c:pt idx="13">
                  <c:v>20.863399367787547</c:v>
                </c:pt>
                <c:pt idx="14">
                  <c:v>20.808616935033672</c:v>
                </c:pt>
                <c:pt idx="15">
                  <c:v>20.723183786510965</c:v>
                </c:pt>
                <c:pt idx="16">
                  <c:v>20.591132551969142</c:v>
                </c:pt>
                <c:pt idx="17">
                  <c:v>20.38973787527544</c:v>
                </c:pt>
                <c:pt idx="18">
                  <c:v>20.088527715466572</c:v>
                </c:pt>
                <c:pt idx="19">
                  <c:v>19.650203345443934</c:v>
                </c:pt>
                <c:pt idx="20">
                  <c:v>19.035103272016261</c:v>
                </c:pt>
                <c:pt idx="21">
                  <c:v>18.209762455948063</c:v>
                </c:pt>
                <c:pt idx="22">
                  <c:v>17.157025164356536</c:v>
                </c:pt>
                <c:pt idx="23">
                  <c:v>15.882210395988277</c:v>
                </c:pt>
                <c:pt idx="24">
                  <c:v>14.411130766507746</c:v>
                </c:pt>
                <c:pt idx="25">
                  <c:v>12.781372401590488</c:v>
                </c:pt>
                <c:pt idx="26">
                  <c:v>11.032339489889907</c:v>
                </c:pt>
                <c:pt idx="27">
                  <c:v>9.1984919164631957</c:v>
                </c:pt>
                <c:pt idx="28">
                  <c:v>7.3066950200871439</c:v>
                </c:pt>
                <c:pt idx="29">
                  <c:v>5.3763802453253939</c:v>
                </c:pt>
                <c:pt idx="30">
                  <c:v>3.4209310202700034</c:v>
                </c:pt>
                <c:pt idx="31">
                  <c:v>1.4492776392255933</c:v>
                </c:pt>
                <c:pt idx="32">
                  <c:v>-0.53274118376417146</c:v>
                </c:pt>
                <c:pt idx="33">
                  <c:v>-2.5213574022953522</c:v>
                </c:pt>
                <c:pt idx="34">
                  <c:v>-4.5141593380754035</c:v>
                </c:pt>
                <c:pt idx="35">
                  <c:v>-6.5096115204446203</c:v>
                </c:pt>
                <c:pt idx="36">
                  <c:v>-8.5067395891875339</c:v>
                </c:pt>
                <c:pt idx="37">
                  <c:v>-10.504926545396508</c:v>
                </c:pt>
                <c:pt idx="38">
                  <c:v>-12.503782202534151</c:v>
                </c:pt>
                <c:pt idx="39">
                  <c:v>-14.503060015823724</c:v>
                </c:pt>
                <c:pt idx="40">
                  <c:v>-16.502604285015671</c:v>
                </c:pt>
                <c:pt idx="41">
                  <c:v>-18.502316713707017</c:v>
                </c:pt>
                <c:pt idx="42">
                  <c:v>-20.502135258679715</c:v>
                </c:pt>
                <c:pt idx="43">
                  <c:v>-22.50202076439647</c:v>
                </c:pt>
                <c:pt idx="44">
                  <c:v>-24.501948521834468</c:v>
                </c:pt>
                <c:pt idx="45">
                  <c:v>-26.501902939241017</c:v>
                </c:pt>
                <c:pt idx="46">
                  <c:v>-28.501874178322769</c:v>
                </c:pt>
                <c:pt idx="47">
                  <c:v>-30.501856031312144</c:v>
                </c:pt>
                <c:pt idx="48">
                  <c:v>-32.5018445812835</c:v>
                </c:pt>
                <c:pt idx="49">
                  <c:v>-34.5018373567883</c:v>
                </c:pt>
                <c:pt idx="50">
                  <c:v>-36.50183279843386</c:v>
                </c:pt>
              </c:numCache>
            </c:numRef>
          </c:yVal>
          <c:smooth val="1"/>
          <c:extLst>
            <c:ext xmlns:c16="http://schemas.microsoft.com/office/drawing/2014/chart" uri="{C3380CC4-5D6E-409C-BE32-E72D297353CC}">
              <c16:uniqueId val="{00000000-914F-4604-9287-09FEFA85A9BC}"/>
            </c:ext>
          </c:extLst>
        </c:ser>
        <c:ser>
          <c:idx val="1"/>
          <c:order val="1"/>
          <c:tx>
            <c:v>PWM_PS Gain</c:v>
          </c:tx>
          <c:spPr>
            <a:ln w="25400">
              <a:solidFill>
                <a:srgbClr val="9933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data!$L$205:$L$255</c:f>
              <c:numCache>
                <c:formatCode>General</c:formatCode>
                <c:ptCount val="51"/>
                <c:pt idx="0">
                  <c:v>58.82600274952928</c:v>
                </c:pt>
                <c:pt idx="1">
                  <c:v>58.825861208817543</c:v>
                </c:pt>
                <c:pt idx="2">
                  <c:v>58.825636891355742</c:v>
                </c:pt>
                <c:pt idx="3">
                  <c:v>58.82528139586897</c:v>
                </c:pt>
                <c:pt idx="4">
                  <c:v>58.824718033092161</c:v>
                </c:pt>
                <c:pt idx="5">
                  <c:v>58.823825312929387</c:v>
                </c:pt>
                <c:pt idx="6">
                  <c:v>58.822410822601718</c:v>
                </c:pt>
                <c:pt idx="7">
                  <c:v>58.82016994977122</c:v>
                </c:pt>
                <c:pt idx="8">
                  <c:v>58.816620772421558</c:v>
                </c:pt>
                <c:pt idx="9">
                  <c:v>58.811001639991318</c:v>
                </c:pt>
                <c:pt idx="10">
                  <c:v>58.802110780999371</c:v>
                </c:pt>
                <c:pt idx="11">
                  <c:v>58.788056896771302</c:v>
                </c:pt>
                <c:pt idx="12">
                  <c:v>58.765875732577413</c:v>
                </c:pt>
                <c:pt idx="13">
                  <c:v>58.730951380105694</c:v>
                </c:pt>
                <c:pt idx="14">
                  <c:v>58.676168947351798</c:v>
                </c:pt>
                <c:pt idx="15">
                  <c:v>58.590735798829144</c:v>
                </c:pt>
                <c:pt idx="16">
                  <c:v>58.458684564287317</c:v>
                </c:pt>
                <c:pt idx="17">
                  <c:v>58.257289887593593</c:v>
                </c:pt>
                <c:pt idx="18">
                  <c:v>57.956079727784726</c:v>
                </c:pt>
                <c:pt idx="19">
                  <c:v>57.517755357762098</c:v>
                </c:pt>
                <c:pt idx="20">
                  <c:v>56.902655284334422</c:v>
                </c:pt>
                <c:pt idx="21">
                  <c:v>56.077314468266223</c:v>
                </c:pt>
                <c:pt idx="22">
                  <c:v>55.024577176674697</c:v>
                </c:pt>
                <c:pt idx="23">
                  <c:v>53.749762408306424</c:v>
                </c:pt>
                <c:pt idx="24">
                  <c:v>52.278682778825896</c:v>
                </c:pt>
                <c:pt idx="25">
                  <c:v>50.648924413908638</c:v>
                </c:pt>
                <c:pt idx="26">
                  <c:v>48.899891502208064</c:v>
                </c:pt>
                <c:pt idx="27">
                  <c:v>47.066043928781369</c:v>
                </c:pt>
                <c:pt idx="28">
                  <c:v>45.174247032405297</c:v>
                </c:pt>
                <c:pt idx="29">
                  <c:v>43.243932257643543</c:v>
                </c:pt>
                <c:pt idx="30">
                  <c:v>41.28848303258814</c:v>
                </c:pt>
                <c:pt idx="31">
                  <c:v>39.316829651543749</c:v>
                </c:pt>
                <c:pt idx="32">
                  <c:v>37.334810828553991</c:v>
                </c:pt>
                <c:pt idx="33">
                  <c:v>35.346194610022806</c:v>
                </c:pt>
                <c:pt idx="34">
                  <c:v>33.353392674242755</c:v>
                </c:pt>
                <c:pt idx="35">
                  <c:v>31.357940491873542</c:v>
                </c:pt>
                <c:pt idx="36">
                  <c:v>29.360812423130632</c:v>
                </c:pt>
                <c:pt idx="37">
                  <c:v>27.362625466921664</c:v>
                </c:pt>
                <c:pt idx="38">
                  <c:v>25.363769809784014</c:v>
                </c:pt>
                <c:pt idx="39">
                  <c:v>23.364491996494444</c:v>
                </c:pt>
                <c:pt idx="40">
                  <c:v>21.364947727302471</c:v>
                </c:pt>
                <c:pt idx="41">
                  <c:v>19.365235298611154</c:v>
                </c:pt>
                <c:pt idx="42">
                  <c:v>17.365416753638446</c:v>
                </c:pt>
                <c:pt idx="43">
                  <c:v>15.365531247921687</c:v>
                </c:pt>
                <c:pt idx="44">
                  <c:v>13.365603490483696</c:v>
                </c:pt>
                <c:pt idx="45">
                  <c:v>11.365649073077142</c:v>
                </c:pt>
                <c:pt idx="46">
                  <c:v>9.3656778339954023</c:v>
                </c:pt>
                <c:pt idx="47">
                  <c:v>7.3656959810059996</c:v>
                </c:pt>
                <c:pt idx="48">
                  <c:v>5.3657074310346626</c:v>
                </c:pt>
                <c:pt idx="49">
                  <c:v>3.3657146555298656</c:v>
                </c:pt>
                <c:pt idx="50">
                  <c:v>1.3657192138843186</c:v>
                </c:pt>
              </c:numCache>
            </c:numRef>
          </c:yVal>
          <c:smooth val="1"/>
          <c:extLst>
            <c:ext xmlns:c16="http://schemas.microsoft.com/office/drawing/2014/chart" uri="{C3380CC4-5D6E-409C-BE32-E72D297353CC}">
              <c16:uniqueId val="{00000001-914F-4604-9287-09FEFA85A9BC}"/>
            </c:ext>
          </c:extLst>
        </c:ser>
        <c:dLbls>
          <c:showLegendKey val="0"/>
          <c:showVal val="0"/>
          <c:showCatName val="0"/>
          <c:showSerName val="0"/>
          <c:showPercent val="0"/>
          <c:showBubbleSize val="0"/>
        </c:dLbls>
        <c:axId val="144217216"/>
        <c:axId val="144219136"/>
      </c:scatterChart>
      <c:scatterChart>
        <c:scatterStyle val="lineMarker"/>
        <c:varyColors val="0"/>
        <c:ser>
          <c:idx val="2"/>
          <c:order val="2"/>
          <c:tx>
            <c:v>Total Open Loop Phase</c:v>
          </c:tx>
          <c:spPr>
            <a:ln w="38100">
              <a:solidFill>
                <a:srgbClr val="0000FF"/>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data!$O$205:$O$255</c:f>
              <c:numCache>
                <c:formatCode>General</c:formatCode>
                <c:ptCount val="51"/>
                <c:pt idx="0">
                  <c:v>-0.42770118438365284</c:v>
                </c:pt>
                <c:pt idx="1">
                  <c:v>-0.53843804018409702</c:v>
                </c:pt>
                <c:pt idx="2">
                  <c:v>-0.67784166078547647</c:v>
                </c:pt>
                <c:pt idx="3">
                  <c:v>-0.85332880773497644</c:v>
                </c:pt>
                <c:pt idx="4">
                  <c:v>-1.0742308684828938</c:v>
                </c:pt>
                <c:pt idx="5">
                  <c:v>-1.3522838728048163</c:v>
                </c:pt>
                <c:pt idx="6">
                  <c:v>-1.7022396980581445</c:v>
                </c:pt>
                <c:pt idx="7">
                  <c:v>-2.1426242079895013</c:v>
                </c:pt>
                <c:pt idx="8">
                  <c:v>-2.6966691881180802</c:v>
                </c:pt>
                <c:pt idx="9">
                  <c:v>-3.3934409556238205</c:v>
                </c:pt>
                <c:pt idx="10">
                  <c:v>-4.2691730183660566</c:v>
                </c:pt>
                <c:pt idx="11">
                  <c:v>-5.3687705692198726</c:v>
                </c:pt>
                <c:pt idx="12">
                  <c:v>-6.7473673400285579</c:v>
                </c:pt>
                <c:pt idx="13">
                  <c:v>-8.4716387670097202</c:v>
                </c:pt>
                <c:pt idx="14">
                  <c:v>-10.620243509998309</c:v>
                </c:pt>
                <c:pt idx="15">
                  <c:v>-13.2821954302322</c:v>
                </c:pt>
                <c:pt idx="16">
                  <c:v>-16.55112358970641</c:v>
                </c:pt>
                <c:pt idx="17">
                  <c:v>-20.512476152900629</c:v>
                </c:pt>
                <c:pt idx="18">
                  <c:v>-25.220688865214491</c:v>
                </c:pt>
                <c:pt idx="19">
                  <c:v>-30.666273588635462</c:v>
                </c:pt>
                <c:pt idx="20">
                  <c:v>-36.741091130310394</c:v>
                </c:pt>
                <c:pt idx="21">
                  <c:v>-43.221817041287501</c:v>
                </c:pt>
                <c:pt idx="22">
                  <c:v>-49.794554027800238</c:v>
                </c:pt>
                <c:pt idx="23">
                  <c:v>-56.12302962867097</c:v>
                </c:pt>
                <c:pt idx="24">
                  <c:v>-61.92886146717462</c:v>
                </c:pt>
                <c:pt idx="25">
                  <c:v>-67.041623735377016</c:v>
                </c:pt>
                <c:pt idx="26">
                  <c:v>-71.402350526979049</c:v>
                </c:pt>
                <c:pt idx="27">
                  <c:v>-75.03552769302901</c:v>
                </c:pt>
                <c:pt idx="28">
                  <c:v>-78.013418794716458</c:v>
                </c:pt>
                <c:pt idx="29">
                  <c:v>-80.427412755889378</c:v>
                </c:pt>
                <c:pt idx="30">
                  <c:v>-82.370099161137318</c:v>
                </c:pt>
                <c:pt idx="31">
                  <c:v>-83.926128355339188</c:v>
                </c:pt>
                <c:pt idx="32">
                  <c:v>-85.168680967418808</c:v>
                </c:pt>
                <c:pt idx="33">
                  <c:v>-86.15898971606758</c:v>
                </c:pt>
                <c:pt idx="34">
                  <c:v>-86.947290186699561</c:v>
                </c:pt>
                <c:pt idx="35">
                  <c:v>-87.574299579317938</c:v>
                </c:pt>
                <c:pt idx="36">
                  <c:v>-88.072772814371461</c:v>
                </c:pt>
                <c:pt idx="37">
                  <c:v>-88.46893596320227</c:v>
                </c:pt>
                <c:pt idx="38">
                  <c:v>-88.783725775533952</c:v>
                </c:pt>
                <c:pt idx="39">
                  <c:v>-89.033825486263467</c:v>
                </c:pt>
                <c:pt idx="40">
                  <c:v>-89.232513458078088</c:v>
                </c:pt>
                <c:pt idx="41">
                  <c:v>-89.39035031373129</c:v>
                </c:pt>
                <c:pt idx="42">
                  <c:v>-89.515731296368614</c:v>
                </c:pt>
                <c:pt idx="43">
                  <c:v>-89.61532831509804</c:v>
                </c:pt>
                <c:pt idx="44">
                  <c:v>-89.694442725319234</c:v>
                </c:pt>
                <c:pt idx="45">
                  <c:v>-89.75728638023827</c:v>
                </c:pt>
                <c:pt idx="46">
                  <c:v>-89.807205293279921</c:v>
                </c:pt>
                <c:pt idx="47">
                  <c:v>-89.846857507644572</c:v>
                </c:pt>
                <c:pt idx="48">
                  <c:v>-89.878354487481232</c:v>
                </c:pt>
                <c:pt idx="49">
                  <c:v>-89.903373481199367</c:v>
                </c:pt>
                <c:pt idx="50">
                  <c:v>-89.92324680104015</c:v>
                </c:pt>
              </c:numCache>
            </c:numRef>
          </c:yVal>
          <c:smooth val="1"/>
          <c:extLst>
            <c:ext xmlns:c16="http://schemas.microsoft.com/office/drawing/2014/chart" uri="{C3380CC4-5D6E-409C-BE32-E72D297353CC}">
              <c16:uniqueId val="{00000002-914F-4604-9287-09FEFA85A9BC}"/>
            </c:ext>
          </c:extLst>
        </c:ser>
        <c:dLbls>
          <c:showLegendKey val="0"/>
          <c:showVal val="0"/>
          <c:showCatName val="0"/>
          <c:showSerName val="0"/>
          <c:showPercent val="0"/>
          <c:showBubbleSize val="0"/>
        </c:dLbls>
        <c:axId val="144225408"/>
        <c:axId val="144226944"/>
      </c:scatterChart>
      <c:valAx>
        <c:axId val="144217216"/>
        <c:scaling>
          <c:logBase val="10"/>
          <c:orientation val="minMax"/>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50" b="1" i="0" u="none" strike="noStrike" baseline="0">
                    <a:solidFill>
                      <a:srgbClr val="000000"/>
                    </a:solidFill>
                    <a:latin typeface="Arial"/>
                    <a:ea typeface="Arial"/>
                    <a:cs typeface="Arial"/>
                  </a:defRPr>
                </a:pPr>
                <a:r>
                  <a:rPr lang="en-US"/>
                  <a:t>Frequency (Hz)</a:t>
                </a:r>
              </a:p>
            </c:rich>
          </c:tx>
          <c:layout>
            <c:manualLayout>
              <c:xMode val="edge"/>
              <c:yMode val="edge"/>
              <c:x val="0.42762339654843717"/>
              <c:y val="0.8684727738084556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44219136"/>
        <c:crossesAt val="-100"/>
        <c:crossBetween val="midCat"/>
        <c:majorUnit val="10"/>
        <c:minorUnit val="10"/>
      </c:valAx>
      <c:valAx>
        <c:axId val="144219136"/>
        <c:scaling>
          <c:orientation val="minMax"/>
          <c:max val="100"/>
          <c:min val="-100"/>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en-US"/>
                  <a:t>Gain (dB)</a:t>
                </a:r>
              </a:p>
            </c:rich>
          </c:tx>
          <c:layout>
            <c:manualLayout>
              <c:xMode val="edge"/>
              <c:yMode val="edge"/>
              <c:x val="2.1248367530357127E-2"/>
              <c:y val="0.4100584143594490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44217216"/>
        <c:crossesAt val="0.01"/>
        <c:crossBetween val="midCat"/>
      </c:valAx>
      <c:valAx>
        <c:axId val="144225408"/>
        <c:scaling>
          <c:logBase val="10"/>
          <c:orientation val="minMax"/>
        </c:scaling>
        <c:delete val="1"/>
        <c:axPos val="b"/>
        <c:numFmt formatCode="0.000" sourceLinked="1"/>
        <c:majorTickMark val="out"/>
        <c:minorTickMark val="none"/>
        <c:tickLblPos val="none"/>
        <c:crossAx val="144226944"/>
        <c:crosses val="autoZero"/>
        <c:crossBetween val="midCat"/>
      </c:valAx>
      <c:valAx>
        <c:axId val="144226944"/>
        <c:scaling>
          <c:orientation val="minMax"/>
        </c:scaling>
        <c:delete val="0"/>
        <c:axPos val="r"/>
        <c:title>
          <c:tx>
            <c:rich>
              <a:bodyPr rot="5400000" vert="horz"/>
              <a:lstStyle/>
              <a:p>
                <a:pPr algn="ctr">
                  <a:defRPr sz="1050" b="1" i="0" u="none" strike="noStrike" baseline="0">
                    <a:solidFill>
                      <a:srgbClr val="000000"/>
                    </a:solidFill>
                    <a:latin typeface="Arial"/>
                    <a:ea typeface="Arial"/>
                    <a:cs typeface="Arial"/>
                  </a:defRPr>
                </a:pPr>
                <a:r>
                  <a:rPr lang="en-US"/>
                  <a:t>Phase (degrees)</a:t>
                </a:r>
              </a:p>
            </c:rich>
          </c:tx>
          <c:layout>
            <c:manualLayout>
              <c:xMode val="edge"/>
              <c:yMode val="edge"/>
              <c:x val="0.94820840104218673"/>
              <c:y val="0.35976823146630904"/>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44225408"/>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6334682538962042"/>
          <c:y val="0.93810533473741875"/>
          <c:w val="0.67330764611819149"/>
          <c:h val="4.8355945089557664E-2"/>
        </c:manualLayout>
      </c:layout>
      <c:overlay val="0"/>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Voltage Closed-Loop Bode Plot</a:t>
            </a:r>
          </a:p>
        </c:rich>
      </c:tx>
      <c:layout>
        <c:manualLayout>
          <c:xMode val="edge"/>
          <c:yMode val="edge"/>
          <c:x val="0.33774834437086093"/>
          <c:y val="2.9465983011738556E-2"/>
        </c:manualLayout>
      </c:layout>
      <c:overlay val="0"/>
      <c:spPr>
        <a:noFill/>
        <a:ln w="25400">
          <a:noFill/>
        </a:ln>
      </c:spPr>
    </c:title>
    <c:autoTitleDeleted val="0"/>
    <c:plotArea>
      <c:layout>
        <c:manualLayout>
          <c:layoutTarget val="inner"/>
          <c:xMode val="edge"/>
          <c:yMode val="edge"/>
          <c:x val="0.10860927152317881"/>
          <c:y val="0.14180504324399179"/>
          <c:w val="0.78410596026490065"/>
          <c:h val="0.6593013698876502"/>
        </c:manualLayout>
      </c:layout>
      <c:scatterChart>
        <c:scatterStyle val="smoothMarker"/>
        <c:varyColors val="0"/>
        <c:ser>
          <c:idx val="0"/>
          <c:order val="0"/>
          <c:tx>
            <c:v>EA Gain</c:v>
          </c:tx>
          <c:spPr>
            <a:ln w="38100">
              <a:solidFill>
                <a:srgbClr val="9933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data!$Q$205:$Q$255</c:f>
              <c:numCache>
                <c:formatCode>General</c:formatCode>
                <c:ptCount val="51"/>
                <c:pt idx="0">
                  <c:v>43.379612419782354</c:v>
                </c:pt>
                <c:pt idx="1">
                  <c:v>41.379722387144888</c:v>
                </c:pt>
                <c:pt idx="2">
                  <c:v>39.379896667904717</c:v>
                </c:pt>
                <c:pt idx="3">
                  <c:v>37.380172869816455</c:v>
                </c:pt>
                <c:pt idx="4">
                  <c:v>35.380610583983675</c:v>
                </c:pt>
                <c:pt idx="5">
                  <c:v>33.381304222868955</c:v>
                </c:pt>
                <c:pt idx="6">
                  <c:v>31.38240333711358</c:v>
                </c:pt>
                <c:pt idx="7">
                  <c:v>29.384144740129109</c:v>
                </c:pt>
                <c:pt idx="8">
                  <c:v>27.386903233148875</c:v>
                </c:pt>
                <c:pt idx="9">
                  <c:v>25.391271525835858</c:v>
                </c:pt>
                <c:pt idx="10">
                  <c:v>23.398185719503498</c:v>
                </c:pt>
                <c:pt idx="11">
                  <c:v>21.409121238934539</c:v>
                </c:pt>
                <c:pt idx="12">
                  <c:v>19.426396060196353</c:v>
                </c:pt>
                <c:pt idx="13">
                  <c:v>17.453633325288646</c:v>
                </c:pt>
                <c:pt idx="14">
                  <c:v>15.49645085612293</c:v>
                </c:pt>
                <c:pt idx="15">
                  <c:v>13.563449788264412</c:v>
                </c:pt>
                <c:pt idx="16">
                  <c:v>11.66754042068324</c:v>
                </c:pt>
                <c:pt idx="17">
                  <c:v>9.8275119811995477</c:v>
                </c:pt>
                <c:pt idx="18">
                  <c:v>8.0694344851077275</c:v>
                </c:pt>
                <c:pt idx="19">
                  <c:v>6.4269203156401442</c:v>
                </c:pt>
                <c:pt idx="20">
                  <c:v>4.9386789453110609</c:v>
                </c:pt>
                <c:pt idx="21">
                  <c:v>3.6419698857540173</c:v>
                </c:pt>
                <c:pt idx="22">
                  <c:v>2.5626093508128984</c:v>
                </c:pt>
                <c:pt idx="23">
                  <c:v>1.7056862725701563</c:v>
                </c:pt>
                <c:pt idx="24">
                  <c:v>1.052543240452364</c:v>
                </c:pt>
                <c:pt idx="25">
                  <c:v>0.5658162161938769</c:v>
                </c:pt>
                <c:pt idx="26">
                  <c:v>0.19858459258534261</c:v>
                </c:pt>
                <c:pt idx="27">
                  <c:v>-9.8022910264224938E-2</c:v>
                </c:pt>
                <c:pt idx="28">
                  <c:v>-0.37156311750688975</c:v>
                </c:pt>
                <c:pt idx="29">
                  <c:v>-0.66871126823689031</c:v>
                </c:pt>
                <c:pt idx="30">
                  <c:v>-1.0370420682669206</c:v>
                </c:pt>
                <c:pt idx="31">
                  <c:v>-1.5254316714607628</c:v>
                </c:pt>
                <c:pt idx="32">
                  <c:v>-2.1807409758015246</c:v>
                </c:pt>
                <c:pt idx="33">
                  <c:v>-3.0401683112519455</c:v>
                </c:pt>
                <c:pt idx="34">
                  <c:v>-4.1221122520277147</c:v>
                </c:pt>
                <c:pt idx="35">
                  <c:v>-5.4212112876524383</c:v>
                </c:pt>
                <c:pt idx="36">
                  <c:v>-6.9114571181770144</c:v>
                </c:pt>
                <c:pt idx="37">
                  <c:v>-8.5555205023577692</c:v>
                </c:pt>
                <c:pt idx="38">
                  <c:v>-10.314721939621167</c:v>
                </c:pt>
                <c:pt idx="39">
                  <c:v>-12.155529030651302</c:v>
                </c:pt>
                <c:pt idx="40">
                  <c:v>-14.051960790957212</c:v>
                </c:pt>
                <c:pt idx="41">
                  <c:v>-15.985304830114831</c:v>
                </c:pt>
                <c:pt idx="42">
                  <c:v>-17.942709289193498</c:v>
                </c:pt>
                <c:pt idx="43">
                  <c:v>-19.915614387104451</c:v>
                </c:pt>
                <c:pt idx="44">
                  <c:v>-21.898430323838589</c:v>
                </c:pt>
                <c:pt idx="45">
                  <c:v>-23.8875524450571</c:v>
                </c:pt>
                <c:pt idx="46">
                  <c:v>-25.880674771178384</c:v>
                </c:pt>
                <c:pt idx="47">
                  <c:v>-27.876329581342816</c:v>
                </c:pt>
                <c:pt idx="48">
                  <c:v>-29.873585689369492</c:v>
                </c:pt>
                <c:pt idx="49">
                  <c:v>-31.871853508618628</c:v>
                </c:pt>
                <c:pt idx="50">
                  <c:v>-33.870760217067193</c:v>
                </c:pt>
              </c:numCache>
            </c:numRef>
          </c:yVal>
          <c:smooth val="1"/>
          <c:extLst>
            <c:ext xmlns:c16="http://schemas.microsoft.com/office/drawing/2014/chart" uri="{C3380CC4-5D6E-409C-BE32-E72D297353CC}">
              <c16:uniqueId val="{00000000-6229-419E-ACF6-6AB62A929F25}"/>
            </c:ext>
          </c:extLst>
        </c:ser>
        <c:ser>
          <c:idx val="1"/>
          <c:order val="1"/>
          <c:tx>
            <c:v>Total Closed  Loop Gain</c:v>
          </c:tx>
          <c:spPr>
            <a:ln w="38100">
              <a:solidFill>
                <a:srgbClr val="FF0000"/>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data!$S$205:$S$255</c:f>
              <c:numCache>
                <c:formatCode>General</c:formatCode>
                <c:ptCount val="51"/>
                <c:pt idx="0">
                  <c:v>64.338063156993513</c:v>
                </c:pt>
                <c:pt idx="1">
                  <c:v>62.338031583644245</c:v>
                </c:pt>
                <c:pt idx="2">
                  <c:v>60.337981546942302</c:v>
                </c:pt>
                <c:pt idx="3">
                  <c:v>58.33790225336724</c:v>
                </c:pt>
                <c:pt idx="4">
                  <c:v>56.337776604757714</c:v>
                </c:pt>
                <c:pt idx="5">
                  <c:v>54.337577523480206</c:v>
                </c:pt>
                <c:pt idx="6">
                  <c:v>52.337262147397119</c:v>
                </c:pt>
                <c:pt idx="7">
                  <c:v>50.336762677582165</c:v>
                </c:pt>
                <c:pt idx="8">
                  <c:v>48.335971993252258</c:v>
                </c:pt>
                <c:pt idx="9">
                  <c:v>46.334721153508987</c:v>
                </c:pt>
                <c:pt idx="10">
                  <c:v>44.33274448818473</c:v>
                </c:pt>
                <c:pt idx="11">
                  <c:v>42.329626123387669</c:v>
                </c:pt>
                <c:pt idx="12">
                  <c:v>40.324719780455666</c:v>
                </c:pt>
                <c:pt idx="13">
                  <c:v>38.317032693076193</c:v>
                </c:pt>
                <c:pt idx="14">
                  <c:v>36.30506779115661</c:v>
                </c:pt>
                <c:pt idx="15">
                  <c:v>34.286633574775379</c:v>
                </c:pt>
                <c:pt idx="16">
                  <c:v>32.258672972652391</c:v>
                </c:pt>
                <c:pt idx="17">
                  <c:v>30.217249856474982</c:v>
                </c:pt>
                <c:pt idx="18">
                  <c:v>28.15796220057431</c:v>
                </c:pt>
                <c:pt idx="19">
                  <c:v>26.077123661084084</c:v>
                </c:pt>
                <c:pt idx="20">
                  <c:v>23.973782217327329</c:v>
                </c:pt>
                <c:pt idx="21">
                  <c:v>21.851732341702082</c:v>
                </c:pt>
                <c:pt idx="22">
                  <c:v>19.719634515169432</c:v>
                </c:pt>
                <c:pt idx="23">
                  <c:v>17.587896668558425</c:v>
                </c:pt>
                <c:pt idx="24">
                  <c:v>15.463674006960115</c:v>
                </c:pt>
                <c:pt idx="25">
                  <c:v>13.347188617784374</c:v>
                </c:pt>
                <c:pt idx="26">
                  <c:v>11.230924082475241</c:v>
                </c:pt>
                <c:pt idx="27">
                  <c:v>9.1004690061989688</c:v>
                </c:pt>
                <c:pt idx="28">
                  <c:v>6.9351319025802685</c:v>
                </c:pt>
                <c:pt idx="29">
                  <c:v>4.7076689770884874</c:v>
                </c:pt>
                <c:pt idx="30">
                  <c:v>2.3838889520030619</c:v>
                </c:pt>
                <c:pt idx="31">
                  <c:v>-7.6154032235169256E-2</c:v>
                </c:pt>
                <c:pt idx="32">
                  <c:v>-2.7134821595656966</c:v>
                </c:pt>
                <c:pt idx="33">
                  <c:v>-5.5615257135472964</c:v>
                </c:pt>
                <c:pt idx="34">
                  <c:v>-8.6362715901031208</c:v>
                </c:pt>
                <c:pt idx="35">
                  <c:v>-11.93082280809705</c:v>
                </c:pt>
                <c:pt idx="36">
                  <c:v>-15.418196707364524</c:v>
                </c:pt>
                <c:pt idx="37">
                  <c:v>-19.060447047754238</c:v>
                </c:pt>
                <c:pt idx="38">
                  <c:v>-22.818504142155316</c:v>
                </c:pt>
                <c:pt idx="39">
                  <c:v>-26.658589046475033</c:v>
                </c:pt>
                <c:pt idx="40">
                  <c:v>-30.554565075972882</c:v>
                </c:pt>
                <c:pt idx="41">
                  <c:v>-34.487621543821874</c:v>
                </c:pt>
                <c:pt idx="42">
                  <c:v>-38.444844547873245</c:v>
                </c:pt>
                <c:pt idx="43">
                  <c:v>-42.417635151500917</c:v>
                </c:pt>
                <c:pt idx="44">
                  <c:v>-46.400378845673053</c:v>
                </c:pt>
                <c:pt idx="45">
                  <c:v>-50.389455384298131</c:v>
                </c:pt>
                <c:pt idx="46">
                  <c:v>-54.382548949501142</c:v>
                </c:pt>
                <c:pt idx="47">
                  <c:v>-58.378185612654988</c:v>
                </c:pt>
                <c:pt idx="48">
                  <c:v>-62.375430270652991</c:v>
                </c:pt>
                <c:pt idx="49">
                  <c:v>-66.373690865406928</c:v>
                </c:pt>
                <c:pt idx="50">
                  <c:v>-70.372593015501053</c:v>
                </c:pt>
              </c:numCache>
            </c:numRef>
          </c:yVal>
          <c:smooth val="1"/>
          <c:extLst>
            <c:ext xmlns:c16="http://schemas.microsoft.com/office/drawing/2014/chart" uri="{C3380CC4-5D6E-409C-BE32-E72D297353CC}">
              <c16:uniqueId val="{00000001-6229-419E-ACF6-6AB62A929F25}"/>
            </c:ext>
          </c:extLst>
        </c:ser>
        <c:dLbls>
          <c:showLegendKey val="0"/>
          <c:showVal val="0"/>
          <c:showCatName val="0"/>
          <c:showSerName val="0"/>
          <c:showPercent val="0"/>
          <c:showBubbleSize val="0"/>
        </c:dLbls>
        <c:axId val="142835072"/>
        <c:axId val="142849536"/>
      </c:scatterChart>
      <c:scatterChart>
        <c:scatterStyle val="lineMarker"/>
        <c:varyColors val="0"/>
        <c:ser>
          <c:idx val="2"/>
          <c:order val="2"/>
          <c:tx>
            <c:v>Total Closed Loop Phase Margin</c:v>
          </c:tx>
          <c:spPr>
            <a:ln w="38100">
              <a:solidFill>
                <a:srgbClr val="0000FF"/>
              </a:solidFill>
              <a:prstDash val="solid"/>
            </a:ln>
          </c:spPr>
          <c:marker>
            <c:symbol val="none"/>
          </c:marker>
          <c:xVal>
            <c:numRef>
              <c:f>data!$H$205:$H$255</c:f>
              <c:numCache>
                <c:formatCode>0.000</c:formatCode>
                <c:ptCount val="51"/>
                <c:pt idx="0">
                  <c:v>0.01</c:v>
                </c:pt>
                <c:pt idx="1">
                  <c:v>1.2589254117941664E-2</c:v>
                </c:pt>
                <c:pt idx="2">
                  <c:v>1.5848931924611124E-2</c:v>
                </c:pt>
                <c:pt idx="3">
                  <c:v>1.9952623149688792E-2</c:v>
                </c:pt>
                <c:pt idx="4">
                  <c:v>2.511886431509578E-2</c:v>
                </c:pt>
                <c:pt idx="5">
                  <c:v>3.1622776601683784E-2</c:v>
                </c:pt>
                <c:pt idx="6">
                  <c:v>3.9810717055349727E-2</c:v>
                </c:pt>
                <c:pt idx="7">
                  <c:v>5.0118723362727206E-2</c:v>
                </c:pt>
                <c:pt idx="8">
                  <c:v>6.3095734448019317E-2</c:v>
                </c:pt>
                <c:pt idx="9">
                  <c:v>7.9432823472428096E-2</c:v>
                </c:pt>
                <c:pt idx="10">
                  <c:v>0.1</c:v>
                </c:pt>
                <c:pt idx="11">
                  <c:v>0.12589254117941667</c:v>
                </c:pt>
                <c:pt idx="12">
                  <c:v>0.15848931924611132</c:v>
                </c:pt>
                <c:pt idx="13">
                  <c:v>0.19952623149688795</c:v>
                </c:pt>
                <c:pt idx="14">
                  <c:v>0.25118864315095801</c:v>
                </c:pt>
                <c:pt idx="15">
                  <c:v>0.31622776601683794</c:v>
                </c:pt>
                <c:pt idx="16">
                  <c:v>0.3981071705534972</c:v>
                </c:pt>
                <c:pt idx="17">
                  <c:v>0.50118723362727224</c:v>
                </c:pt>
                <c:pt idx="18">
                  <c:v>0.63095734448019325</c:v>
                </c:pt>
                <c:pt idx="19">
                  <c:v>0.79432823472428149</c:v>
                </c:pt>
                <c:pt idx="20">
                  <c:v>1</c:v>
                </c:pt>
                <c:pt idx="21">
                  <c:v>1.2589254117941673</c:v>
                </c:pt>
                <c:pt idx="22">
                  <c:v>1.5848931924611136</c:v>
                </c:pt>
                <c:pt idx="23">
                  <c:v>1.9952623149688797</c:v>
                </c:pt>
                <c:pt idx="24">
                  <c:v>2.5118864315095806</c:v>
                </c:pt>
                <c:pt idx="25">
                  <c:v>3.1622776601683795</c:v>
                </c:pt>
                <c:pt idx="26">
                  <c:v>3.9810717055349727</c:v>
                </c:pt>
                <c:pt idx="27">
                  <c:v>5.0118723362727229</c:v>
                </c:pt>
                <c:pt idx="28">
                  <c:v>6.3095734448019343</c:v>
                </c:pt>
                <c:pt idx="29">
                  <c:v>7.9432823472428176</c:v>
                </c:pt>
                <c:pt idx="30">
                  <c:v>10</c:v>
                </c:pt>
                <c:pt idx="31">
                  <c:v>12.58925411794168</c:v>
                </c:pt>
                <c:pt idx="32">
                  <c:v>15.848931924611136</c:v>
                </c:pt>
                <c:pt idx="33">
                  <c:v>19.952623149688804</c:v>
                </c:pt>
                <c:pt idx="34">
                  <c:v>25.118864315095799</c:v>
                </c:pt>
                <c:pt idx="35">
                  <c:v>31.622776601683803</c:v>
                </c:pt>
                <c:pt idx="36">
                  <c:v>39.810717055349755</c:v>
                </c:pt>
                <c:pt idx="37">
                  <c:v>50.118723362727238</c:v>
                </c:pt>
                <c:pt idx="38">
                  <c:v>63.095734448019364</c:v>
                </c:pt>
                <c:pt idx="39">
                  <c:v>79.432823472428197</c:v>
                </c:pt>
                <c:pt idx="40">
                  <c:v>100</c:v>
                </c:pt>
                <c:pt idx="41">
                  <c:v>125.89254117941677</c:v>
                </c:pt>
                <c:pt idx="42">
                  <c:v>158.48931924611153</c:v>
                </c:pt>
                <c:pt idx="43">
                  <c:v>199.52623149688802</c:v>
                </c:pt>
                <c:pt idx="44">
                  <c:v>251.18864315095806</c:v>
                </c:pt>
                <c:pt idx="45">
                  <c:v>316.22776601683825</c:v>
                </c:pt>
                <c:pt idx="46">
                  <c:v>398.10717055349761</c:v>
                </c:pt>
                <c:pt idx="47">
                  <c:v>501.18723362727269</c:v>
                </c:pt>
                <c:pt idx="48">
                  <c:v>630.95734448019323</c:v>
                </c:pt>
                <c:pt idx="49">
                  <c:v>794.32823472428208</c:v>
                </c:pt>
                <c:pt idx="50">
                  <c:v>1000</c:v>
                </c:pt>
              </c:numCache>
            </c:numRef>
          </c:xVal>
          <c:yVal>
            <c:numRef>
              <c:f>data!$T$205:$T$255</c:f>
              <c:numCache>
                <c:formatCode>General</c:formatCode>
                <c:ptCount val="51"/>
                <c:pt idx="0">
                  <c:v>89.922756909894233</c:v>
                </c:pt>
                <c:pt idx="1">
                  <c:v>89.902758524127066</c:v>
                </c:pt>
                <c:pt idx="2">
                  <c:v>89.877583852374713</c:v>
                </c:pt>
                <c:pt idx="3">
                  <c:v>89.845894417805866</c:v>
                </c:pt>
                <c:pt idx="4">
                  <c:v>89.806006963298401</c:v>
                </c:pt>
                <c:pt idx="5">
                  <c:v>89.755805953231544</c:v>
                </c:pt>
                <c:pt idx="6">
                  <c:v>89.69263517960789</c:v>
                </c:pt>
                <c:pt idx="7">
                  <c:v>89.613164800806615</c:v>
                </c:pt>
                <c:pt idx="8">
                  <c:v>89.513230893553086</c:v>
                </c:pt>
                <c:pt idx="9">
                  <c:v>89.387647181731566</c:v>
                </c:pt>
                <c:pt idx="10">
                  <c:v>89.229994996364312</c:v>
                </c:pt>
                <c:pt idx="11">
                  <c:v>89.032411441206051</c:v>
                </c:pt>
                <c:pt idx="12">
                  <c:v>88.785423797795474</c:v>
                </c:pt>
                <c:pt idx="13">
                  <c:v>88.477930993181062</c:v>
                </c:pt>
                <c:pt idx="14">
                  <c:v>88.097523950360539</c:v>
                </c:pt>
                <c:pt idx="15">
                  <c:v>87.631471867789273</c:v>
                </c:pt>
                <c:pt idx="16">
                  <c:v>87.068842290724859</c:v>
                </c:pt>
                <c:pt idx="17">
                  <c:v>86.404193739948965</c:v>
                </c:pt>
                <c:pt idx="18">
                  <c:v>85.642631131159945</c:v>
                </c:pt>
                <c:pt idx="19">
                  <c:v>84.804085242355796</c:v>
                </c:pt>
                <c:pt idx="20">
                  <c:v>83.921595546862122</c:v>
                </c:pt>
                <c:pt idx="21">
                  <c:v>83.027319766480957</c:v>
                </c:pt>
                <c:pt idx="22">
                  <c:v>82.126876261746759</c:v>
                </c:pt>
                <c:pt idx="23">
                  <c:v>81.17626052793139</c:v>
                </c:pt>
                <c:pt idx="24">
                  <c:v>80.079341244259226</c:v>
                </c:pt>
                <c:pt idx="25">
                  <c:v>78.707120191532809</c:v>
                </c:pt>
                <c:pt idx="26">
                  <c:v>76.922174416791918</c:v>
                </c:pt>
                <c:pt idx="27">
                  <c:v>74.594440556820317</c:v>
                </c:pt>
                <c:pt idx="28">
                  <c:v>71.608936248507518</c:v>
                </c:pt>
                <c:pt idx="29">
                  <c:v>67.874499302153325</c:v>
                </c:pt>
                <c:pt idx="30">
                  <c:v>63.341838914402217</c:v>
                </c:pt>
                <c:pt idx="31">
                  <c:v>58.03277458953383</c:v>
                </c:pt>
                <c:pt idx="32">
                  <c:v>52.07169165152979</c:v>
                </c:pt>
                <c:pt idx="33">
                  <c:v>45.697899578359198</c:v>
                </c:pt>
                <c:pt idx="34">
                  <c:v>39.236197273480229</c:v>
                </c:pt>
                <c:pt idx="35">
                  <c:v>33.025728294632671</c:v>
                </c:pt>
                <c:pt idx="36">
                  <c:v>27.340831913107905</c:v>
                </c:pt>
                <c:pt idx="37">
                  <c:v>22.345022968708093</c:v>
                </c:pt>
                <c:pt idx="38">
                  <c:v>18.091271290492216</c:v>
                </c:pt>
                <c:pt idx="39">
                  <c:v>14.551683354224849</c:v>
                </c:pt>
                <c:pt idx="40">
                  <c:v>11.653061723187136</c:v>
                </c:pt>
                <c:pt idx="41">
                  <c:v>9.3047263799012114</c:v>
                </c:pt>
                <c:pt idx="42">
                  <c:v>7.4156210503687134</c:v>
                </c:pt>
                <c:pt idx="43">
                  <c:v>5.9028936566070627</c:v>
                </c:pt>
                <c:pt idx="44">
                  <c:v>4.6951166774568378</c:v>
                </c:pt>
                <c:pt idx="45">
                  <c:v>3.7326242924837061</c:v>
                </c:pt>
                <c:pt idx="46">
                  <c:v>2.9665168056241953</c:v>
                </c:pt>
                <c:pt idx="47">
                  <c:v>2.357185154936758</c:v>
                </c:pt>
                <c:pt idx="48">
                  <c:v>1.8727786117486289</c:v>
                </c:pt>
                <c:pt idx="49">
                  <c:v>1.487801472479191</c:v>
                </c:pt>
                <c:pt idx="50">
                  <c:v>1.1819032666950307</c:v>
                </c:pt>
              </c:numCache>
            </c:numRef>
          </c:yVal>
          <c:smooth val="1"/>
          <c:extLst>
            <c:ext xmlns:c16="http://schemas.microsoft.com/office/drawing/2014/chart" uri="{C3380CC4-5D6E-409C-BE32-E72D297353CC}">
              <c16:uniqueId val="{00000002-6229-419E-ACF6-6AB62A929F25}"/>
            </c:ext>
          </c:extLst>
        </c:ser>
        <c:dLbls>
          <c:showLegendKey val="0"/>
          <c:showVal val="0"/>
          <c:showCatName val="0"/>
          <c:showSerName val="0"/>
          <c:showPercent val="0"/>
          <c:showBubbleSize val="0"/>
        </c:dLbls>
        <c:axId val="142851456"/>
        <c:axId val="142853248"/>
      </c:scatterChart>
      <c:valAx>
        <c:axId val="142835072"/>
        <c:scaling>
          <c:logBase val="10"/>
          <c:orientation val="minMax"/>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50" b="1" i="0" u="none" strike="noStrike" baseline="0">
                    <a:solidFill>
                      <a:srgbClr val="000000"/>
                    </a:solidFill>
                    <a:latin typeface="Arial"/>
                    <a:ea typeface="Arial"/>
                    <a:cs typeface="Arial"/>
                  </a:defRPr>
                </a:pPr>
                <a:r>
                  <a:rPr lang="en-US"/>
                  <a:t>Frequency (Hz)</a:t>
                </a:r>
              </a:p>
            </c:rich>
          </c:tx>
          <c:layout>
            <c:manualLayout>
              <c:xMode val="edge"/>
              <c:yMode val="edge"/>
              <c:x val="0.42649006622516555"/>
              <c:y val="0.86556325096982001"/>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142849536"/>
        <c:crossesAt val="-150"/>
        <c:crossBetween val="midCat"/>
        <c:majorUnit val="10"/>
        <c:minorUnit val="10"/>
      </c:valAx>
      <c:valAx>
        <c:axId val="142849536"/>
        <c:scaling>
          <c:orientation val="minMax"/>
          <c:max val="100"/>
        </c:scaling>
        <c:delete val="0"/>
        <c:axPos val="l"/>
        <c:majorGridlines>
          <c:spPr>
            <a:ln w="3175">
              <a:solidFill>
                <a:srgbClr val="000000"/>
              </a:solidFill>
              <a:prstDash val="solid"/>
            </a:ln>
          </c:spPr>
        </c:majorGridlines>
        <c:title>
          <c:tx>
            <c:rich>
              <a:bodyPr/>
              <a:lstStyle/>
              <a:p>
                <a:pPr>
                  <a:defRPr sz="1150" b="1" i="0" u="none" strike="noStrike" baseline="0">
                    <a:solidFill>
                      <a:srgbClr val="000000"/>
                    </a:solidFill>
                    <a:latin typeface="Arial"/>
                    <a:ea typeface="Arial"/>
                    <a:cs typeface="Arial"/>
                  </a:defRPr>
                </a:pPr>
                <a:r>
                  <a:rPr lang="en-US"/>
                  <a:t>Gain (dB)</a:t>
                </a:r>
              </a:p>
            </c:rich>
          </c:tx>
          <c:layout>
            <c:manualLayout>
              <c:xMode val="edge"/>
              <c:yMode val="edge"/>
              <c:x val="2.119205298013245E-2"/>
              <c:y val="0.406998890349638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142835072"/>
        <c:crossesAt val="0.01"/>
        <c:crossBetween val="midCat"/>
      </c:valAx>
      <c:valAx>
        <c:axId val="142851456"/>
        <c:scaling>
          <c:logBase val="10"/>
          <c:orientation val="minMax"/>
        </c:scaling>
        <c:delete val="1"/>
        <c:axPos val="b"/>
        <c:numFmt formatCode="0.000" sourceLinked="1"/>
        <c:majorTickMark val="out"/>
        <c:minorTickMark val="none"/>
        <c:tickLblPos val="none"/>
        <c:crossAx val="142853248"/>
        <c:crosses val="autoZero"/>
        <c:crossBetween val="midCat"/>
      </c:valAx>
      <c:valAx>
        <c:axId val="142853248"/>
        <c:scaling>
          <c:orientation val="minMax"/>
          <c:max val="180"/>
        </c:scaling>
        <c:delete val="0"/>
        <c:axPos val="r"/>
        <c:title>
          <c:tx>
            <c:rich>
              <a:bodyPr rot="5400000" vert="horz"/>
              <a:lstStyle/>
              <a:p>
                <a:pPr algn="ctr">
                  <a:defRPr sz="1125" b="1" i="0" u="none" strike="noStrike" baseline="0">
                    <a:solidFill>
                      <a:srgbClr val="000000"/>
                    </a:solidFill>
                    <a:latin typeface="Arial"/>
                    <a:ea typeface="Arial"/>
                    <a:cs typeface="Arial"/>
                  </a:defRPr>
                </a:pPr>
                <a:r>
                  <a:rPr lang="en-US"/>
                  <a:t>Phase (degrees)</a:t>
                </a:r>
              </a:p>
            </c:rich>
          </c:tx>
          <c:layout>
            <c:manualLayout>
              <c:xMode val="edge"/>
              <c:yMode val="edge"/>
              <c:x val="0.94304635761589406"/>
              <c:y val="0.360958291893797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142851456"/>
        <c:crosses val="max"/>
        <c:crossBetween val="midCat"/>
      </c:valAx>
      <c:spPr>
        <a:gradFill rotWithShape="0">
          <a:gsLst>
            <a:gs pos="0">
              <a:srgbClr val="FFFFFF"/>
            </a:gs>
            <a:gs pos="100000">
              <a:srgbClr val="FFFFCC"/>
            </a:gs>
          </a:gsLst>
          <a:lin ang="5400000" scaled="1"/>
        </a:gradFill>
        <a:ln w="12700">
          <a:solidFill>
            <a:srgbClr val="808080"/>
          </a:solidFill>
          <a:prstDash val="solid"/>
        </a:ln>
      </c:spPr>
    </c:plotArea>
    <c:legend>
      <c:legendPos val="b"/>
      <c:layout>
        <c:manualLayout>
          <c:xMode val="edge"/>
          <c:yMode val="edge"/>
          <c:x val="0.15099337748344371"/>
          <c:y val="0.93922820849916644"/>
          <c:w val="0.69801324503311257"/>
          <c:h val="4.788222239407515E-2"/>
        </c:manualLayout>
      </c:layout>
      <c:overlay val="0"/>
      <c:spPr>
        <a:solidFill>
          <a:srgbClr val="FFFFFF"/>
        </a:solidFill>
        <a:ln w="3175">
          <a:solidFill>
            <a:srgbClr val="000000"/>
          </a:solidFill>
          <a:prstDash val="solid"/>
        </a:ln>
      </c:spPr>
      <c:txPr>
        <a:bodyPr/>
        <a:lstStyle/>
        <a:p>
          <a:pPr>
            <a:defRPr sz="105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de-DE"/>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9525</xdr:colOff>
      <xdr:row>144</xdr:row>
      <xdr:rowOff>0</xdr:rowOff>
    </xdr:from>
    <xdr:to>
      <xdr:col>3</xdr:col>
      <xdr:colOff>600075</xdr:colOff>
      <xdr:row>166</xdr:row>
      <xdr:rowOff>200025</xdr:rowOff>
    </xdr:to>
    <xdr:graphicFrame macro="">
      <xdr:nvGraphicFramePr>
        <xdr:cNvPr id="1025" name="Chart 1">
          <a:extLst>
            <a:ext uri="{FF2B5EF4-FFF2-40B4-BE49-F238E27FC236}">
              <a16:creationId xmlns:a16="http://schemas.microsoft.com/office/drawing/2014/main" id="{00000000-0008-0000-01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176</xdr:row>
      <xdr:rowOff>0</xdr:rowOff>
    </xdr:from>
    <xdr:to>
      <xdr:col>3</xdr:col>
      <xdr:colOff>600075</xdr:colOff>
      <xdr:row>206</xdr:row>
      <xdr:rowOff>104775</xdr:rowOff>
    </xdr:to>
    <xdr:graphicFrame macro="">
      <xdr:nvGraphicFramePr>
        <xdr:cNvPr id="1026" name="Chart 2">
          <a:extLst>
            <a:ext uri="{FF2B5EF4-FFF2-40B4-BE49-F238E27FC236}">
              <a16:creationId xmlns:a16="http://schemas.microsoft.com/office/drawing/2014/main" id="{00000000-0008-0000-01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206</xdr:row>
      <xdr:rowOff>133350</xdr:rowOff>
    </xdr:from>
    <xdr:to>
      <xdr:col>3</xdr:col>
      <xdr:colOff>600075</xdr:colOff>
      <xdr:row>227</xdr:row>
      <xdr:rowOff>152400</xdr:rowOff>
    </xdr:to>
    <xdr:graphicFrame macro="">
      <xdr:nvGraphicFramePr>
        <xdr:cNvPr id="1027" name="Chart 3">
          <a:extLst>
            <a:ext uri="{FF2B5EF4-FFF2-40B4-BE49-F238E27FC236}">
              <a16:creationId xmlns:a16="http://schemas.microsoft.com/office/drawing/2014/main" id="{00000000-0008-0000-01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228</xdr:row>
      <xdr:rowOff>0</xdr:rowOff>
    </xdr:from>
    <xdr:to>
      <xdr:col>3</xdr:col>
      <xdr:colOff>600075</xdr:colOff>
      <xdr:row>258</xdr:row>
      <xdr:rowOff>66675</xdr:rowOff>
    </xdr:to>
    <xdr:graphicFrame macro="">
      <xdr:nvGraphicFramePr>
        <xdr:cNvPr id="1031" name="Chart 7">
          <a:extLst>
            <a:ext uri="{FF2B5EF4-FFF2-40B4-BE49-F238E27FC236}">
              <a16:creationId xmlns:a16="http://schemas.microsoft.com/office/drawing/2014/main" id="{00000000-0008-0000-0100-000007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271</xdr:row>
      <xdr:rowOff>9525</xdr:rowOff>
    </xdr:from>
    <xdr:to>
      <xdr:col>3</xdr:col>
      <xdr:colOff>676275</xdr:colOff>
      <xdr:row>302</xdr:row>
      <xdr:rowOff>133350</xdr:rowOff>
    </xdr:to>
    <xdr:graphicFrame macro="">
      <xdr:nvGraphicFramePr>
        <xdr:cNvPr id="1032" name="Chart 8">
          <a:extLst>
            <a:ext uri="{FF2B5EF4-FFF2-40B4-BE49-F238E27FC236}">
              <a16:creationId xmlns:a16="http://schemas.microsoft.com/office/drawing/2014/main" id="{00000000-0008-0000-0100-000008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28575</xdr:rowOff>
        </xdr:from>
        <xdr:to>
          <xdr:col>5</xdr:col>
          <xdr:colOff>152400</xdr:colOff>
          <xdr:row>34</xdr:row>
          <xdr:rowOff>85725</xdr:rowOff>
        </xdr:to>
        <xdr:sp macro="" textlink="">
          <xdr:nvSpPr>
            <xdr:cNvPr id="8194" name="Object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N18"/>
  <sheetViews>
    <sheetView zoomScale="75" workbookViewId="0">
      <selection activeCell="Q7" sqref="Q7"/>
    </sheetView>
  </sheetViews>
  <sheetFormatPr baseColWidth="10" defaultColWidth="9.140625" defaultRowHeight="12.75" x14ac:dyDescent="0.2"/>
  <sheetData>
    <row r="1" spans="1:14" ht="33.75" x14ac:dyDescent="0.2">
      <c r="A1" s="147" t="s">
        <v>365</v>
      </c>
      <c r="B1" s="147"/>
      <c r="C1" s="147"/>
      <c r="D1" s="147"/>
      <c r="E1" s="147"/>
      <c r="F1" s="147"/>
      <c r="G1" s="147"/>
      <c r="H1" s="147"/>
      <c r="I1" s="147"/>
      <c r="J1" s="147"/>
      <c r="K1" s="147"/>
      <c r="L1" s="147"/>
      <c r="M1" s="147"/>
      <c r="N1" s="147"/>
    </row>
    <row r="2" spans="1:14" ht="75.75" customHeight="1" x14ac:dyDescent="0.2">
      <c r="A2" s="148" t="s">
        <v>366</v>
      </c>
      <c r="B2" s="148"/>
      <c r="C2" s="148"/>
      <c r="D2" s="148"/>
      <c r="E2" s="148"/>
      <c r="F2" s="148"/>
      <c r="G2" s="148"/>
      <c r="H2" s="148"/>
      <c r="I2" s="148"/>
      <c r="J2" s="148"/>
      <c r="K2" s="148"/>
      <c r="L2" s="148"/>
      <c r="M2" s="148"/>
      <c r="N2" s="148"/>
    </row>
    <row r="3" spans="1:14" x14ac:dyDescent="0.2">
      <c r="A3" s="144"/>
      <c r="B3" s="144"/>
      <c r="C3" s="144"/>
      <c r="D3" s="144"/>
      <c r="E3" s="144"/>
      <c r="F3" s="144"/>
      <c r="G3" s="144"/>
      <c r="H3" s="144"/>
      <c r="I3" s="144"/>
      <c r="J3" s="144"/>
      <c r="K3" s="144"/>
      <c r="L3" s="144"/>
      <c r="M3" s="144"/>
      <c r="N3" s="144"/>
    </row>
    <row r="4" spans="1:14" ht="25.5" x14ac:dyDescent="0.2">
      <c r="A4" s="146" t="s">
        <v>291</v>
      </c>
      <c r="B4" s="146"/>
      <c r="C4" s="146"/>
      <c r="D4" s="146"/>
      <c r="E4" s="146"/>
      <c r="F4" s="146"/>
      <c r="G4" s="146"/>
      <c r="H4" s="146"/>
      <c r="I4" s="146"/>
      <c r="J4" s="146"/>
      <c r="K4" s="146"/>
      <c r="L4" s="146"/>
      <c r="M4" s="146"/>
      <c r="N4" s="146"/>
    </row>
    <row r="5" spans="1:14" x14ac:dyDescent="0.2">
      <c r="A5" s="144"/>
      <c r="B5" s="144"/>
      <c r="C5" s="144"/>
      <c r="D5" s="144"/>
      <c r="E5" s="144"/>
      <c r="F5" s="144"/>
      <c r="G5" s="144"/>
      <c r="H5" s="144"/>
      <c r="I5" s="144"/>
      <c r="J5" s="144"/>
      <c r="K5" s="144"/>
      <c r="L5" s="144"/>
      <c r="M5" s="144"/>
      <c r="N5" s="144"/>
    </row>
    <row r="6" spans="1:14" ht="25.5" x14ac:dyDescent="0.2">
      <c r="A6" s="76" t="s">
        <v>292</v>
      </c>
      <c r="B6" s="76"/>
      <c r="C6" s="76"/>
      <c r="D6" s="76"/>
      <c r="E6" s="76"/>
      <c r="F6" s="76"/>
      <c r="G6" s="76"/>
      <c r="H6" s="76"/>
      <c r="I6" s="76"/>
      <c r="J6" s="76"/>
      <c r="K6" s="76"/>
      <c r="L6" s="76"/>
      <c r="M6" s="76"/>
      <c r="N6" s="76"/>
    </row>
    <row r="7" spans="1:14" ht="25.5" x14ac:dyDescent="0.2">
      <c r="A7" s="76"/>
      <c r="B7" s="145" t="s">
        <v>373</v>
      </c>
      <c r="C7" s="146"/>
      <c r="D7" s="146"/>
      <c r="E7" s="146"/>
      <c r="F7" s="146"/>
      <c r="G7" s="146"/>
      <c r="H7" s="146"/>
      <c r="I7" s="146"/>
      <c r="J7" s="146"/>
      <c r="K7" s="146"/>
      <c r="L7" s="146"/>
      <c r="M7" s="146"/>
      <c r="N7" s="146"/>
    </row>
    <row r="8" spans="1:14" ht="25.5" x14ac:dyDescent="0.2">
      <c r="A8" s="76"/>
      <c r="B8" s="146" t="s">
        <v>293</v>
      </c>
      <c r="C8" s="146"/>
      <c r="D8" s="146"/>
      <c r="E8" s="146"/>
      <c r="F8" s="146"/>
      <c r="G8" s="146"/>
      <c r="H8" s="146"/>
      <c r="I8" s="146"/>
      <c r="J8" s="146"/>
      <c r="K8" s="146"/>
      <c r="L8" s="146"/>
      <c r="M8" s="146"/>
      <c r="N8" s="146"/>
    </row>
    <row r="9" spans="1:14" ht="25.5" x14ac:dyDescent="0.2">
      <c r="A9" s="76"/>
      <c r="B9" s="146"/>
      <c r="C9" s="146"/>
      <c r="D9" s="146"/>
      <c r="E9" s="146"/>
      <c r="F9" s="146"/>
      <c r="G9" s="146"/>
      <c r="H9" s="146"/>
      <c r="I9" s="146"/>
      <c r="J9" s="146"/>
      <c r="K9" s="146"/>
      <c r="L9" s="146"/>
      <c r="M9" s="146"/>
      <c r="N9" s="146"/>
    </row>
    <row r="10" spans="1:14" x14ac:dyDescent="0.2">
      <c r="A10" s="144"/>
      <c r="B10" s="144"/>
      <c r="C10" s="144"/>
      <c r="D10" s="144"/>
      <c r="E10" s="144"/>
      <c r="F10" s="144"/>
      <c r="G10" s="144"/>
      <c r="H10" s="144"/>
      <c r="I10" s="144"/>
      <c r="J10" s="144"/>
      <c r="K10" s="144"/>
      <c r="L10" s="144"/>
      <c r="M10" s="144"/>
      <c r="N10" s="144"/>
    </row>
    <row r="11" spans="1:14" ht="25.5" x14ac:dyDescent="0.2">
      <c r="A11" s="76" t="s">
        <v>294</v>
      </c>
      <c r="B11" s="76"/>
      <c r="C11" s="76"/>
      <c r="D11" s="76"/>
      <c r="E11" s="76"/>
      <c r="F11" s="76"/>
      <c r="G11" s="76"/>
      <c r="H11" s="76"/>
      <c r="I11" s="76"/>
      <c r="J11" s="76"/>
      <c r="K11" s="76"/>
      <c r="L11" s="76"/>
      <c r="M11" s="76"/>
      <c r="N11" s="76"/>
    </row>
    <row r="12" spans="1:14" ht="80.25" customHeight="1" x14ac:dyDescent="0.2">
      <c r="A12" s="76"/>
      <c r="B12" s="143" t="s">
        <v>295</v>
      </c>
      <c r="C12" s="143"/>
      <c r="D12" s="143"/>
      <c r="E12" s="143"/>
      <c r="F12" s="143"/>
      <c r="G12" s="143"/>
      <c r="H12" s="143"/>
      <c r="I12" s="143"/>
      <c r="J12" s="143"/>
      <c r="K12" s="143"/>
      <c r="L12" s="143"/>
      <c r="M12" s="143"/>
      <c r="N12" s="143"/>
    </row>
    <row r="13" spans="1:14" ht="54" customHeight="1" x14ac:dyDescent="0.2">
      <c r="A13" s="76"/>
      <c r="B13" s="143" t="s">
        <v>296</v>
      </c>
      <c r="C13" s="143"/>
      <c r="D13" s="143"/>
      <c r="E13" s="143"/>
      <c r="F13" s="143"/>
      <c r="G13" s="143"/>
      <c r="H13" s="143"/>
      <c r="I13" s="143"/>
      <c r="J13" s="143"/>
      <c r="K13" s="143"/>
      <c r="L13" s="143"/>
      <c r="M13" s="143"/>
      <c r="N13" s="143"/>
    </row>
    <row r="14" spans="1:14" x14ac:dyDescent="0.2">
      <c r="A14" s="144"/>
      <c r="B14" s="144"/>
      <c r="C14" s="144"/>
      <c r="D14" s="144"/>
      <c r="E14" s="144"/>
      <c r="F14" s="144"/>
      <c r="G14" s="144"/>
      <c r="H14" s="144"/>
      <c r="I14" s="144"/>
      <c r="J14" s="144"/>
      <c r="K14" s="144"/>
      <c r="L14" s="144"/>
      <c r="M14" s="144"/>
      <c r="N14" s="144"/>
    </row>
    <row r="15" spans="1:14" ht="48" customHeight="1" x14ac:dyDescent="0.2">
      <c r="A15" s="143" t="s">
        <v>297</v>
      </c>
      <c r="B15" s="143"/>
      <c r="C15" s="143"/>
      <c r="D15" s="143"/>
      <c r="E15" s="143"/>
      <c r="F15" s="143"/>
      <c r="G15" s="143"/>
      <c r="H15" s="143"/>
      <c r="I15" s="143"/>
      <c r="J15" s="143"/>
      <c r="K15" s="143"/>
      <c r="L15" s="143"/>
      <c r="M15" s="143"/>
      <c r="N15" s="143"/>
    </row>
    <row r="16" spans="1:14" x14ac:dyDescent="0.2">
      <c r="A16" s="144"/>
      <c r="B16" s="144"/>
      <c r="C16" s="144"/>
      <c r="D16" s="144"/>
      <c r="E16" s="144"/>
      <c r="F16" s="144"/>
      <c r="G16" s="144"/>
      <c r="H16" s="144"/>
      <c r="I16" s="144"/>
      <c r="J16" s="144"/>
      <c r="K16" s="144"/>
      <c r="L16" s="144"/>
      <c r="M16" s="144"/>
      <c r="N16" s="144"/>
    </row>
    <row r="17" spans="1:14" ht="49.5" customHeight="1" x14ac:dyDescent="0.2">
      <c r="A17" s="143" t="s">
        <v>298</v>
      </c>
      <c r="B17" s="143"/>
      <c r="C17" s="143"/>
      <c r="D17" s="143"/>
      <c r="E17" s="143"/>
      <c r="F17" s="143"/>
      <c r="G17" s="143"/>
      <c r="H17" s="143"/>
      <c r="I17" s="143"/>
      <c r="J17" s="143"/>
      <c r="K17" s="143"/>
      <c r="L17" s="143"/>
      <c r="M17" s="143"/>
      <c r="N17" s="143"/>
    </row>
    <row r="18" spans="1:14" x14ac:dyDescent="0.2">
      <c r="A18" s="144"/>
      <c r="B18" s="144"/>
      <c r="C18" s="144"/>
      <c r="D18" s="144"/>
      <c r="E18" s="144"/>
      <c r="F18" s="144"/>
      <c r="G18" s="144"/>
      <c r="H18" s="144"/>
      <c r="I18" s="144"/>
      <c r="J18" s="144"/>
      <c r="K18" s="144"/>
      <c r="L18" s="144"/>
      <c r="M18" s="144"/>
      <c r="N18" s="144"/>
    </row>
  </sheetData>
  <sheetProtection password="E59D" sheet="1" objects="1" scenarios="1" selectLockedCells="1" selectUnlockedCells="1"/>
  <mergeCells count="16">
    <mergeCell ref="A5:N5"/>
    <mergeCell ref="B7:N7"/>
    <mergeCell ref="B8:N8"/>
    <mergeCell ref="B9:N9"/>
    <mergeCell ref="A1:N1"/>
    <mergeCell ref="A2:N2"/>
    <mergeCell ref="A3:N3"/>
    <mergeCell ref="A4:N4"/>
    <mergeCell ref="A15:N15"/>
    <mergeCell ref="A16:N16"/>
    <mergeCell ref="A17:N17"/>
    <mergeCell ref="A18:N18"/>
    <mergeCell ref="A10:N10"/>
    <mergeCell ref="B12:N12"/>
    <mergeCell ref="B13:N13"/>
    <mergeCell ref="A14:N14"/>
  </mergeCells>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334"/>
  <sheetViews>
    <sheetView tabSelected="1" topLeftCell="A85" zoomScale="80" zoomScaleNormal="80" workbookViewId="0">
      <selection activeCell="H99" sqref="H99"/>
    </sheetView>
  </sheetViews>
  <sheetFormatPr baseColWidth="10" defaultColWidth="9.140625" defaultRowHeight="12.75" x14ac:dyDescent="0.2"/>
  <cols>
    <col min="1" max="1" width="75.140625" style="6" customWidth="1"/>
    <col min="2" max="2" width="21.7109375" style="6" customWidth="1"/>
    <col min="3" max="3" width="17.85546875" style="6" customWidth="1"/>
    <col min="4" max="4" width="10.140625" style="6" customWidth="1"/>
    <col min="5" max="5" width="14.140625" style="6" customWidth="1"/>
    <col min="6" max="16384" width="9.140625" style="6"/>
  </cols>
  <sheetData>
    <row r="1" spans="1:5" ht="69" customHeight="1" x14ac:dyDescent="0.2">
      <c r="A1" s="177" t="s">
        <v>372</v>
      </c>
      <c r="B1" s="178"/>
      <c r="C1" s="178"/>
      <c r="D1" s="178"/>
    </row>
    <row r="2" spans="1:5" ht="13.5" thickBot="1" x14ac:dyDescent="0.25">
      <c r="A2" s="185" t="s">
        <v>494</v>
      </c>
      <c r="B2" s="185"/>
      <c r="C2" s="185"/>
      <c r="D2" s="185"/>
    </row>
    <row r="3" spans="1:5" x14ac:dyDescent="0.2">
      <c r="A3" s="188" t="s">
        <v>378</v>
      </c>
      <c r="B3" s="189"/>
      <c r="C3" s="189"/>
      <c r="D3" s="190"/>
    </row>
    <row r="4" spans="1:5" x14ac:dyDescent="0.2">
      <c r="A4" s="171" t="s">
        <v>379</v>
      </c>
      <c r="B4" s="172"/>
      <c r="C4" s="172"/>
      <c r="D4" s="173"/>
    </row>
    <row r="5" spans="1:5" x14ac:dyDescent="0.2">
      <c r="A5" s="171"/>
      <c r="B5" s="172"/>
      <c r="C5" s="172"/>
      <c r="D5" s="173"/>
    </row>
    <row r="6" spans="1:5" ht="13.5" thickBot="1" x14ac:dyDescent="0.25">
      <c r="A6" s="174"/>
      <c r="B6" s="175"/>
      <c r="C6" s="175"/>
      <c r="D6" s="176"/>
    </row>
    <row r="7" spans="1:5" s="103" customFormat="1" ht="46.5" x14ac:dyDescent="0.2">
      <c r="A7" s="104" t="s">
        <v>375</v>
      </c>
      <c r="B7" s="102" t="s">
        <v>27</v>
      </c>
      <c r="C7" s="186" t="s">
        <v>28</v>
      </c>
      <c r="D7" s="186"/>
    </row>
    <row r="8" spans="1:5" ht="15.75" x14ac:dyDescent="0.2">
      <c r="A8" s="187" t="s">
        <v>376</v>
      </c>
      <c r="B8" s="187"/>
      <c r="C8" s="187"/>
      <c r="D8" s="187"/>
    </row>
    <row r="9" spans="1:5" x14ac:dyDescent="0.2">
      <c r="A9" s="184"/>
      <c r="B9" s="184"/>
      <c r="C9" s="184"/>
      <c r="D9" s="184"/>
    </row>
    <row r="10" spans="1:5" ht="18.75" x14ac:dyDescent="0.2">
      <c r="A10" s="182" t="s">
        <v>377</v>
      </c>
      <c r="B10" s="183"/>
      <c r="C10" s="183"/>
      <c r="D10" s="183"/>
    </row>
    <row r="11" spans="1:5" ht="13.5" thickBot="1" x14ac:dyDescent="0.25">
      <c r="A11" s="159"/>
      <c r="B11" s="159"/>
      <c r="C11" s="159"/>
      <c r="D11" s="159"/>
    </row>
    <row r="12" spans="1:5" ht="15.75" x14ac:dyDescent="0.2">
      <c r="A12" s="155" t="s">
        <v>23</v>
      </c>
      <c r="B12" s="156"/>
      <c r="C12" s="156"/>
      <c r="D12" s="157"/>
    </row>
    <row r="13" spans="1:5" ht="15.75" x14ac:dyDescent="0.2">
      <c r="A13" s="7" t="s">
        <v>39</v>
      </c>
      <c r="B13" s="8" t="s">
        <v>15</v>
      </c>
      <c r="C13" s="1">
        <v>1200</v>
      </c>
      <c r="D13" s="9" t="s">
        <v>14</v>
      </c>
    </row>
    <row r="14" spans="1:5" ht="15.75" x14ac:dyDescent="0.2">
      <c r="A14" s="7" t="s">
        <v>364</v>
      </c>
      <c r="B14" s="8" t="s">
        <v>147</v>
      </c>
      <c r="C14" s="1">
        <v>375</v>
      </c>
      <c r="D14" s="9" t="s">
        <v>13</v>
      </c>
      <c r="E14" s="101" t="str">
        <f>IF(Vout&lt;=Vin_rect_max,"Output Voltage Must be Greater Than Maximum Rectified Input Voltage"," ")</f>
        <v xml:space="preserve"> </v>
      </c>
    </row>
    <row r="15" spans="1:5" ht="15.75" x14ac:dyDescent="0.2">
      <c r="A15" s="7" t="s">
        <v>282</v>
      </c>
      <c r="B15" s="8" t="s">
        <v>16</v>
      </c>
      <c r="C15" s="1">
        <v>0.99</v>
      </c>
      <c r="D15" s="9"/>
      <c r="E15" s="6" t="str">
        <f>IF(PF&gt;=1,"ENTER VALUE LESS THAN 1"," ")</f>
        <v xml:space="preserve"> </v>
      </c>
    </row>
    <row r="16" spans="1:5" x14ac:dyDescent="0.2">
      <c r="A16" s="7" t="s">
        <v>12</v>
      </c>
      <c r="B16" s="10" t="s">
        <v>11</v>
      </c>
      <c r="C16" s="1">
        <v>0.94</v>
      </c>
      <c r="D16" s="9"/>
      <c r="E16" s="6" t="str">
        <f>IF(eff&gt;=1,"ENTER VALUE LESS THAN 1"," ")</f>
        <v xml:space="preserve"> </v>
      </c>
    </row>
    <row r="17" spans="1:5" ht="15.75" x14ac:dyDescent="0.2">
      <c r="A17" s="11" t="s">
        <v>47</v>
      </c>
      <c r="B17" s="12" t="s">
        <v>50</v>
      </c>
      <c r="C17" s="1">
        <v>50</v>
      </c>
      <c r="D17" s="13" t="s">
        <v>46</v>
      </c>
    </row>
    <row r="18" spans="1:5" ht="16.5" thickBot="1" x14ac:dyDescent="0.25">
      <c r="A18" s="14" t="s">
        <v>51</v>
      </c>
      <c r="B18" s="15" t="s">
        <v>203</v>
      </c>
      <c r="C18" s="16">
        <f>Pout/Vout</f>
        <v>3.2</v>
      </c>
      <c r="D18" s="17" t="s">
        <v>20</v>
      </c>
    </row>
    <row r="19" spans="1:5" x14ac:dyDescent="0.2">
      <c r="A19" s="158"/>
      <c r="B19" s="158"/>
      <c r="C19" s="158"/>
      <c r="D19" s="158"/>
    </row>
    <row r="20" spans="1:5" ht="13.5" thickBot="1" x14ac:dyDescent="0.25">
      <c r="A20" s="159"/>
      <c r="B20" s="159"/>
      <c r="C20" s="159"/>
      <c r="D20" s="159"/>
    </row>
    <row r="21" spans="1:5" ht="15.75" x14ac:dyDescent="0.2">
      <c r="A21" s="155" t="s">
        <v>24</v>
      </c>
      <c r="B21" s="156"/>
      <c r="C21" s="156"/>
      <c r="D21" s="157"/>
    </row>
    <row r="22" spans="1:5" ht="15.75" x14ac:dyDescent="0.2">
      <c r="A22" s="7" t="s">
        <v>0</v>
      </c>
      <c r="B22" s="8" t="s">
        <v>204</v>
      </c>
      <c r="C22" s="1">
        <v>85</v>
      </c>
      <c r="D22" s="9" t="s">
        <v>154</v>
      </c>
    </row>
    <row r="23" spans="1:5" ht="15.75" x14ac:dyDescent="0.2">
      <c r="A23" s="7" t="s">
        <v>1</v>
      </c>
      <c r="B23" s="8" t="s">
        <v>205</v>
      </c>
      <c r="C23" s="1">
        <v>265</v>
      </c>
      <c r="D23" s="9" t="s">
        <v>154</v>
      </c>
    </row>
    <row r="24" spans="1:5" ht="15.75" x14ac:dyDescent="0.2">
      <c r="A24" s="7" t="s">
        <v>25</v>
      </c>
      <c r="B24" s="8" t="s">
        <v>206</v>
      </c>
      <c r="C24" s="1">
        <v>230</v>
      </c>
      <c r="D24" s="9" t="s">
        <v>154</v>
      </c>
      <c r="E24" s="100" t="s">
        <v>374</v>
      </c>
    </row>
    <row r="25" spans="1:5" ht="15.75" x14ac:dyDescent="0.2">
      <c r="A25" s="7" t="s">
        <v>4</v>
      </c>
      <c r="B25" s="8" t="s">
        <v>8</v>
      </c>
      <c r="C25" s="1">
        <v>47</v>
      </c>
      <c r="D25" s="9" t="s">
        <v>5</v>
      </c>
    </row>
    <row r="26" spans="1:5" ht="15.75" x14ac:dyDescent="0.2">
      <c r="A26" s="7" t="s">
        <v>6</v>
      </c>
      <c r="B26" s="8" t="s">
        <v>9</v>
      </c>
      <c r="C26" s="1">
        <v>63</v>
      </c>
      <c r="D26" s="9" t="s">
        <v>5</v>
      </c>
    </row>
    <row r="27" spans="1:5" ht="15.75" x14ac:dyDescent="0.2">
      <c r="A27" s="7" t="s">
        <v>26</v>
      </c>
      <c r="B27" s="8" t="s">
        <v>10</v>
      </c>
      <c r="C27" s="1">
        <v>60</v>
      </c>
      <c r="D27" s="9" t="s">
        <v>7</v>
      </c>
    </row>
    <row r="28" spans="1:5" ht="15.75" x14ac:dyDescent="0.2">
      <c r="A28" s="7" t="s">
        <v>3</v>
      </c>
      <c r="B28" s="8" t="s">
        <v>53</v>
      </c>
      <c r="C28" s="18">
        <f>SQRT(2)*Vin_min</f>
        <v>120.20815280171308</v>
      </c>
      <c r="D28" s="9" t="s">
        <v>13</v>
      </c>
    </row>
    <row r="29" spans="1:5" ht="15.75" x14ac:dyDescent="0.2">
      <c r="A29" s="7" t="s">
        <v>2</v>
      </c>
      <c r="B29" s="8" t="s">
        <v>54</v>
      </c>
      <c r="C29" s="18">
        <f>SQRT(2)*Vin_max</f>
        <v>374.7665940288702</v>
      </c>
      <c r="D29" s="9" t="s">
        <v>13</v>
      </c>
    </row>
    <row r="30" spans="1:5" ht="15.75" x14ac:dyDescent="0.2">
      <c r="A30" s="7" t="s">
        <v>17</v>
      </c>
      <c r="B30" s="8" t="s">
        <v>18</v>
      </c>
      <c r="C30" s="18">
        <f>Pout/eff</f>
        <v>1276.5957446808511</v>
      </c>
      <c r="D30" s="9" t="s">
        <v>14</v>
      </c>
    </row>
    <row r="31" spans="1:5" ht="15.75" x14ac:dyDescent="0.2">
      <c r="A31" s="7" t="s">
        <v>19</v>
      </c>
      <c r="B31" s="8" t="s">
        <v>55</v>
      </c>
      <c r="C31" s="18">
        <f>Pout/(eff*Vin_min*PF)</f>
        <v>15.170478249326813</v>
      </c>
      <c r="D31" s="9" t="s">
        <v>20</v>
      </c>
    </row>
    <row r="32" spans="1:5" ht="15.75" x14ac:dyDescent="0.2">
      <c r="A32" s="7" t="s">
        <v>21</v>
      </c>
      <c r="B32" s="8" t="s">
        <v>56</v>
      </c>
      <c r="C32" s="18">
        <f>SQRT(2)*Iin_rms_max</f>
        <v>21.454296087884028</v>
      </c>
      <c r="D32" s="9" t="s">
        <v>20</v>
      </c>
    </row>
    <row r="33" spans="1:5" ht="15.75" x14ac:dyDescent="0.2">
      <c r="A33" s="7" t="s">
        <v>22</v>
      </c>
      <c r="B33" s="8" t="s">
        <v>57</v>
      </c>
      <c r="C33" s="18">
        <f>(2*Iin_peak_max)/PI()</f>
        <v>13.658229091775421</v>
      </c>
      <c r="D33" s="9" t="s">
        <v>20</v>
      </c>
    </row>
    <row r="34" spans="1:5" ht="16.5" thickBot="1" x14ac:dyDescent="0.25">
      <c r="A34" s="19" t="s">
        <v>224</v>
      </c>
      <c r="B34" s="20" t="s">
        <v>58</v>
      </c>
      <c r="C34" s="16">
        <f>1.5*Iin_rms_max</f>
        <v>22.755717373990219</v>
      </c>
      <c r="D34" s="21" t="s">
        <v>20</v>
      </c>
    </row>
    <row r="35" spans="1:5" x14ac:dyDescent="0.2">
      <c r="A35" s="158"/>
      <c r="B35" s="158"/>
      <c r="C35" s="158"/>
      <c r="D35" s="158"/>
    </row>
    <row r="36" spans="1:5" ht="13.5" thickBot="1" x14ac:dyDescent="0.25">
      <c r="A36" s="159"/>
      <c r="B36" s="159"/>
      <c r="C36" s="159"/>
      <c r="D36" s="159"/>
    </row>
    <row r="37" spans="1:5" ht="15.75" x14ac:dyDescent="0.2">
      <c r="A37" s="155" t="s">
        <v>102</v>
      </c>
      <c r="B37" s="156"/>
      <c r="C37" s="156"/>
      <c r="D37" s="157"/>
    </row>
    <row r="38" spans="1:5" ht="15.75" x14ac:dyDescent="0.2">
      <c r="A38" s="11" t="s">
        <v>117</v>
      </c>
      <c r="B38" s="12" t="s">
        <v>59</v>
      </c>
      <c r="C38" s="1">
        <v>0.95</v>
      </c>
      <c r="D38" s="23" t="s">
        <v>13</v>
      </c>
    </row>
    <row r="39" spans="1:5" ht="15.75" x14ac:dyDescent="0.2">
      <c r="A39" s="11" t="s">
        <v>48</v>
      </c>
      <c r="B39" s="12" t="s">
        <v>60</v>
      </c>
      <c r="C39" s="1">
        <v>2.2000000000000002</v>
      </c>
      <c r="D39" s="13" t="s">
        <v>44</v>
      </c>
    </row>
    <row r="40" spans="1:5" ht="15.75" x14ac:dyDescent="0.2">
      <c r="A40" s="11" t="s">
        <v>49</v>
      </c>
      <c r="B40" s="12" t="s">
        <v>45</v>
      </c>
      <c r="C40" s="1">
        <v>125</v>
      </c>
      <c r="D40" s="13" t="s">
        <v>46</v>
      </c>
    </row>
    <row r="41" spans="1:5" ht="15.75" x14ac:dyDescent="0.2">
      <c r="A41" s="11" t="s">
        <v>109</v>
      </c>
      <c r="B41" s="12" t="s">
        <v>36</v>
      </c>
      <c r="C41" s="18">
        <f>1.5*Iin_avg_max</f>
        <v>20.48734363766313</v>
      </c>
      <c r="D41" s="23" t="s">
        <v>20</v>
      </c>
    </row>
    <row r="42" spans="1:5" ht="15.75" x14ac:dyDescent="0.2">
      <c r="A42" s="11" t="s">
        <v>108</v>
      </c>
      <c r="B42" s="12" t="s">
        <v>110</v>
      </c>
      <c r="C42" s="18">
        <f>Vin_rect_max*1.1</f>
        <v>412.24325343175724</v>
      </c>
      <c r="D42" s="23" t="s">
        <v>13</v>
      </c>
    </row>
    <row r="43" spans="1:5" ht="15.75" x14ac:dyDescent="0.2">
      <c r="A43" s="11" t="s">
        <v>37</v>
      </c>
      <c r="B43" s="12" t="s">
        <v>38</v>
      </c>
      <c r="C43" s="18">
        <f>2*Vf_bridge*Iin_avg_max</f>
        <v>25.950635274373301</v>
      </c>
      <c r="D43" s="23" t="s">
        <v>14</v>
      </c>
    </row>
    <row r="44" spans="1:5" ht="16.5" thickBot="1" x14ac:dyDescent="0.25">
      <c r="A44" s="19" t="s">
        <v>61</v>
      </c>
      <c r="B44" s="20" t="s">
        <v>62</v>
      </c>
      <c r="C44" s="24">
        <f>((Tj_bridge-Tamb)/Pbridge)-Rjc_bridge-1</f>
        <v>-0.30989734135473013</v>
      </c>
      <c r="D44" s="25" t="s">
        <v>44</v>
      </c>
    </row>
    <row r="45" spans="1:5" x14ac:dyDescent="0.2">
      <c r="A45" s="158"/>
      <c r="B45" s="158"/>
      <c r="C45" s="158"/>
      <c r="D45" s="158"/>
    </row>
    <row r="46" spans="1:5" ht="13.5" thickBot="1" x14ac:dyDescent="0.25">
      <c r="A46" s="159"/>
      <c r="B46" s="159"/>
      <c r="C46" s="159"/>
      <c r="D46" s="159"/>
    </row>
    <row r="47" spans="1:5" ht="15.75" x14ac:dyDescent="0.2">
      <c r="A47" s="168" t="s">
        <v>29</v>
      </c>
      <c r="B47" s="169"/>
      <c r="C47" s="169"/>
      <c r="D47" s="170"/>
    </row>
    <row r="48" spans="1:5" ht="15.75" x14ac:dyDescent="0.2">
      <c r="A48" s="7" t="s">
        <v>201</v>
      </c>
      <c r="B48" s="8" t="s">
        <v>299</v>
      </c>
      <c r="C48" s="1">
        <v>0.4</v>
      </c>
      <c r="D48" s="9"/>
      <c r="E48" s="6" t="str">
        <f>IF(L_I_ripple_factor&gt;=1,"INDUCTOR CURRENT MUST REMAIN CONTINUOUS, ENTER A SMALLER RIPPLE FACTOR"," ")</f>
        <v xml:space="preserve"> </v>
      </c>
    </row>
    <row r="49" spans="1:4" ht="15.75" x14ac:dyDescent="0.2">
      <c r="A49" s="7" t="s">
        <v>202</v>
      </c>
      <c r="B49" s="8" t="s">
        <v>300</v>
      </c>
      <c r="C49" s="1">
        <v>0.06</v>
      </c>
      <c r="D49" s="9"/>
    </row>
    <row r="50" spans="1:4" ht="15.75" x14ac:dyDescent="0.2">
      <c r="A50" s="7" t="s">
        <v>283</v>
      </c>
      <c r="B50" s="26" t="s">
        <v>52</v>
      </c>
      <c r="C50" s="18">
        <f>L_I_ripple_factor*Iin_peak_max</f>
        <v>8.5817184351536113</v>
      </c>
      <c r="D50" s="9" t="s">
        <v>20</v>
      </c>
    </row>
    <row r="51" spans="1:4" ht="15.75" x14ac:dyDescent="0.2">
      <c r="A51" s="7" t="s">
        <v>30</v>
      </c>
      <c r="B51" s="8" t="s">
        <v>43</v>
      </c>
      <c r="C51" s="18">
        <f>V_ripplefactor*Vin_rect_min</f>
        <v>7.2124891681027847</v>
      </c>
      <c r="D51" s="9" t="s">
        <v>13</v>
      </c>
    </row>
    <row r="52" spans="1:4" ht="15.75" customHeight="1" thickBot="1" x14ac:dyDescent="0.25">
      <c r="A52" s="27" t="s">
        <v>31</v>
      </c>
      <c r="B52" s="28" t="s">
        <v>225</v>
      </c>
      <c r="C52" s="29">
        <f>((L_I_ripple_factor*Iin_peak_max)/(8*fsw*Vin_ripple))/uF</f>
        <v>2.2881565986918271</v>
      </c>
      <c r="D52" s="30" t="s">
        <v>244</v>
      </c>
    </row>
    <row r="53" spans="1:4" x14ac:dyDescent="0.2">
      <c r="A53" s="158"/>
      <c r="B53" s="158"/>
      <c r="C53" s="158"/>
      <c r="D53" s="158"/>
    </row>
    <row r="54" spans="1:4" ht="13.5" thickBot="1" x14ac:dyDescent="0.25">
      <c r="A54" s="159"/>
      <c r="B54" s="159"/>
      <c r="C54" s="159"/>
      <c r="D54" s="159"/>
    </row>
    <row r="55" spans="1:4" ht="15.75" x14ac:dyDescent="0.2">
      <c r="A55" s="168" t="s">
        <v>33</v>
      </c>
      <c r="B55" s="169"/>
      <c r="C55" s="169"/>
      <c r="D55" s="170"/>
    </row>
    <row r="56" spans="1:4" ht="15.75" x14ac:dyDescent="0.2">
      <c r="A56" s="7" t="s">
        <v>34</v>
      </c>
      <c r="B56" s="8" t="s">
        <v>64</v>
      </c>
      <c r="C56" s="18">
        <f>(Vout-Vin_rect_min)/Vout</f>
        <v>0.67944492586209848</v>
      </c>
      <c r="D56" s="9"/>
    </row>
    <row r="57" spans="1:4" ht="15.75" x14ac:dyDescent="0.2">
      <c r="A57" s="7" t="s">
        <v>35</v>
      </c>
      <c r="B57" s="8" t="s">
        <v>63</v>
      </c>
      <c r="C57" s="18">
        <f>Iin_peak_max+(Iripple/2)</f>
        <v>25.745155305460834</v>
      </c>
      <c r="D57" s="9" t="s">
        <v>20</v>
      </c>
    </row>
    <row r="58" spans="1:4" ht="14.25" x14ac:dyDescent="0.2">
      <c r="A58" s="31" t="s">
        <v>231</v>
      </c>
      <c r="B58" s="32" t="s">
        <v>226</v>
      </c>
      <c r="C58" s="33">
        <f>((Vout*0.5*(1-0.5))/(fsw*Iripple))/mH</f>
        <v>0.16806746844542392</v>
      </c>
      <c r="D58" s="34" t="s">
        <v>40</v>
      </c>
    </row>
    <row r="59" spans="1:4" ht="15.75" x14ac:dyDescent="0.2">
      <c r="A59" s="7" t="s">
        <v>41</v>
      </c>
      <c r="B59" s="8" t="s">
        <v>42</v>
      </c>
      <c r="C59" s="1">
        <v>0.6</v>
      </c>
      <c r="D59" s="9" t="s">
        <v>40</v>
      </c>
    </row>
    <row r="60" spans="1:4" ht="15.75" x14ac:dyDescent="0.2">
      <c r="A60" s="7" t="s">
        <v>284</v>
      </c>
      <c r="B60" s="26" t="s">
        <v>285</v>
      </c>
      <c r="C60" s="63">
        <f>(Vout*0.5*(1-0.5))/((fsw)*(Lbst*mH))</f>
        <v>2.4038461538461537</v>
      </c>
      <c r="D60" s="9" t="s">
        <v>20</v>
      </c>
    </row>
    <row r="61" spans="1:4" ht="16.5" thickBot="1" x14ac:dyDescent="0.25">
      <c r="A61" s="14" t="s">
        <v>286</v>
      </c>
      <c r="B61" s="15" t="s">
        <v>287</v>
      </c>
      <c r="C61" s="24">
        <f>Iin_peak_max+Iripple_actual/2</f>
        <v>22.656219164807105</v>
      </c>
      <c r="D61" s="17" t="s">
        <v>20</v>
      </c>
    </row>
    <row r="62" spans="1:4" x14ac:dyDescent="0.2">
      <c r="A62" s="158"/>
      <c r="B62" s="158"/>
      <c r="C62" s="158"/>
      <c r="D62" s="158"/>
    </row>
    <row r="63" spans="1:4" ht="13.5" thickBot="1" x14ac:dyDescent="0.25">
      <c r="A63" s="159"/>
      <c r="B63" s="159"/>
      <c r="C63" s="159"/>
      <c r="D63" s="159"/>
    </row>
    <row r="64" spans="1:4" ht="15.75" x14ac:dyDescent="0.2">
      <c r="A64" s="155" t="s">
        <v>79</v>
      </c>
      <c r="B64" s="156"/>
      <c r="C64" s="156"/>
      <c r="D64" s="157"/>
    </row>
    <row r="65" spans="1:4" ht="15.75" x14ac:dyDescent="0.2">
      <c r="A65" s="7" t="s">
        <v>81</v>
      </c>
      <c r="B65" s="8" t="s">
        <v>82</v>
      </c>
      <c r="C65" s="1">
        <v>1.5</v>
      </c>
      <c r="D65" s="9" t="s">
        <v>13</v>
      </c>
    </row>
    <row r="66" spans="1:4" ht="15.75" x14ac:dyDescent="0.2">
      <c r="A66" s="7" t="s">
        <v>83</v>
      </c>
      <c r="B66" s="8" t="s">
        <v>84</v>
      </c>
      <c r="C66" s="1">
        <v>0</v>
      </c>
      <c r="D66" s="9" t="s">
        <v>68</v>
      </c>
    </row>
    <row r="67" spans="1:4" ht="15.75" x14ac:dyDescent="0.2">
      <c r="A67" s="11" t="s">
        <v>91</v>
      </c>
      <c r="B67" s="12" t="s">
        <v>45</v>
      </c>
      <c r="C67" s="1">
        <v>125</v>
      </c>
      <c r="D67" s="13" t="s">
        <v>46</v>
      </c>
    </row>
    <row r="68" spans="1:4" ht="15.75" x14ac:dyDescent="0.2">
      <c r="A68" s="11" t="s">
        <v>92</v>
      </c>
      <c r="B68" s="12" t="s">
        <v>93</v>
      </c>
      <c r="C68" s="1">
        <v>2.4</v>
      </c>
      <c r="D68" s="13" t="s">
        <v>44</v>
      </c>
    </row>
    <row r="69" spans="1:4" ht="15.75" x14ac:dyDescent="0.2">
      <c r="A69" s="11" t="s">
        <v>95</v>
      </c>
      <c r="B69" s="12" t="s">
        <v>96</v>
      </c>
      <c r="C69" s="1">
        <v>1</v>
      </c>
      <c r="D69" s="13" t="s">
        <v>44</v>
      </c>
    </row>
    <row r="70" spans="1:4" ht="15.75" x14ac:dyDescent="0.2">
      <c r="A70" s="7" t="s">
        <v>88</v>
      </c>
      <c r="B70" s="8" t="s">
        <v>85</v>
      </c>
      <c r="C70" s="18">
        <f>Vf*Iout</f>
        <v>4.8000000000000007</v>
      </c>
      <c r="D70" s="9" t="s">
        <v>14</v>
      </c>
    </row>
    <row r="71" spans="1:4" ht="15.75" x14ac:dyDescent="0.2">
      <c r="A71" s="7" t="s">
        <v>86</v>
      </c>
      <c r="B71" s="8" t="s">
        <v>87</v>
      </c>
      <c r="C71" s="18">
        <f>(fsw)*Vout*(Qrr*nC)</f>
        <v>0</v>
      </c>
      <c r="D71" s="9" t="s">
        <v>14</v>
      </c>
    </row>
    <row r="72" spans="1:4" ht="15.75" x14ac:dyDescent="0.2">
      <c r="A72" s="7" t="s">
        <v>89</v>
      </c>
      <c r="B72" s="8" t="s">
        <v>90</v>
      </c>
      <c r="C72" s="18">
        <f>Pdiode_cond+(Pdiode_reverse/2)</f>
        <v>4.8000000000000007</v>
      </c>
      <c r="D72" s="9" t="s">
        <v>14</v>
      </c>
    </row>
    <row r="73" spans="1:4" ht="16.5" thickBot="1" x14ac:dyDescent="0.25">
      <c r="A73" s="19" t="s">
        <v>61</v>
      </c>
      <c r="B73" s="20" t="s">
        <v>94</v>
      </c>
      <c r="C73" s="24">
        <f>((Tj_diode-Tamb)/Pdiode)-Rth_diode-Rth_case_hs</f>
        <v>12.224999999999998</v>
      </c>
      <c r="D73" s="25" t="s">
        <v>44</v>
      </c>
    </row>
    <row r="74" spans="1:4" x14ac:dyDescent="0.2">
      <c r="A74" s="158"/>
      <c r="B74" s="158"/>
      <c r="C74" s="158"/>
      <c r="D74" s="158"/>
    </row>
    <row r="75" spans="1:4" ht="13.5" thickBot="1" x14ac:dyDescent="0.25">
      <c r="A75" s="159"/>
      <c r="B75" s="159"/>
      <c r="C75" s="159"/>
      <c r="D75" s="159"/>
    </row>
    <row r="76" spans="1:4" ht="15.75" x14ac:dyDescent="0.2">
      <c r="A76" s="155" t="s">
        <v>80</v>
      </c>
      <c r="B76" s="156"/>
      <c r="C76" s="156"/>
      <c r="D76" s="157"/>
    </row>
    <row r="77" spans="1:4" x14ac:dyDescent="0.2">
      <c r="A77" s="7" t="s">
        <v>367</v>
      </c>
      <c r="B77" s="8" t="s">
        <v>65</v>
      </c>
      <c r="C77" s="1">
        <v>12</v>
      </c>
      <c r="D77" s="9" t="s">
        <v>13</v>
      </c>
    </row>
    <row r="78" spans="1:4" ht="15.75" x14ac:dyDescent="0.2">
      <c r="A78" s="7" t="s">
        <v>70</v>
      </c>
      <c r="B78" s="8" t="s">
        <v>66</v>
      </c>
      <c r="C78" s="35">
        <f>IF(VCC&gt;=13.75,12.5,VCC-1.25)</f>
        <v>10.75</v>
      </c>
      <c r="D78" s="9" t="s">
        <v>13</v>
      </c>
    </row>
    <row r="79" spans="1:4" ht="15.75" x14ac:dyDescent="0.2">
      <c r="A79" s="7" t="s">
        <v>73</v>
      </c>
      <c r="B79" s="8" t="s">
        <v>74</v>
      </c>
      <c r="C79" s="18">
        <f>(Pout/Vin_rect_min)*SQRT((2-(16*Vin_rect_min/(3*PI()*Vout))))</f>
        <v>12.044797232617444</v>
      </c>
      <c r="D79" s="9" t="s">
        <v>20</v>
      </c>
    </row>
    <row r="80" spans="1:4" ht="15.75" x14ac:dyDescent="0.2">
      <c r="A80" s="7" t="s">
        <v>160</v>
      </c>
      <c r="B80" s="8" t="s">
        <v>72</v>
      </c>
      <c r="C80" s="1">
        <v>0.35</v>
      </c>
      <c r="D80" s="13" t="s">
        <v>14</v>
      </c>
    </row>
    <row r="81" spans="1:9" ht="15.75" x14ac:dyDescent="0.2">
      <c r="A81" s="7" t="s">
        <v>71</v>
      </c>
      <c r="B81" s="8" t="s">
        <v>67</v>
      </c>
      <c r="C81" s="1">
        <v>87</v>
      </c>
      <c r="D81" s="9" t="s">
        <v>68</v>
      </c>
    </row>
    <row r="82" spans="1:9" ht="15.75" x14ac:dyDescent="0.2">
      <c r="A82" s="7" t="s">
        <v>161</v>
      </c>
      <c r="B82" s="8" t="s">
        <v>162</v>
      </c>
      <c r="C82" s="1">
        <v>4.5</v>
      </c>
      <c r="D82" s="9" t="s">
        <v>163</v>
      </c>
    </row>
    <row r="83" spans="1:9" ht="15.75" x14ac:dyDescent="0.2">
      <c r="A83" s="7" t="s">
        <v>355</v>
      </c>
      <c r="B83" s="8" t="s">
        <v>356</v>
      </c>
      <c r="C83" s="1">
        <v>5</v>
      </c>
      <c r="D83" s="9" t="s">
        <v>163</v>
      </c>
    </row>
    <row r="84" spans="1:9" ht="15.75" x14ac:dyDescent="0.2">
      <c r="A84" s="7" t="s">
        <v>77</v>
      </c>
      <c r="B84" s="8" t="s">
        <v>78</v>
      </c>
      <c r="C84" s="1">
        <v>780</v>
      </c>
      <c r="D84" s="9" t="s">
        <v>97</v>
      </c>
    </row>
    <row r="85" spans="1:9" ht="15.75" x14ac:dyDescent="0.2">
      <c r="A85" s="11" t="s">
        <v>104</v>
      </c>
      <c r="B85" s="12" t="s">
        <v>45</v>
      </c>
      <c r="C85" s="1">
        <v>125</v>
      </c>
      <c r="D85" s="13" t="s">
        <v>46</v>
      </c>
    </row>
    <row r="86" spans="1:9" ht="15.75" x14ac:dyDescent="0.2">
      <c r="A86" s="11" t="s">
        <v>105</v>
      </c>
      <c r="B86" s="12" t="s">
        <v>106</v>
      </c>
      <c r="C86" s="1">
        <v>0.6</v>
      </c>
      <c r="D86" s="13" t="s">
        <v>44</v>
      </c>
    </row>
    <row r="87" spans="1:9" ht="15.75" x14ac:dyDescent="0.2">
      <c r="A87" s="7" t="s">
        <v>288</v>
      </c>
      <c r="B87" s="8" t="s">
        <v>69</v>
      </c>
      <c r="C87" s="18">
        <f>Vgs*Qg*(nC)*fsw</f>
        <v>6.0791250000000005E-2</v>
      </c>
      <c r="D87" s="9" t="s">
        <v>14</v>
      </c>
    </row>
    <row r="88" spans="1:9" ht="15.75" x14ac:dyDescent="0.2">
      <c r="A88" s="7" t="s">
        <v>75</v>
      </c>
      <c r="B88" s="8" t="s">
        <v>76</v>
      </c>
      <c r="C88" s="18">
        <f>(Ids_rms^2)*(Rds_on)</f>
        <v>50.776999131204086</v>
      </c>
      <c r="D88" s="9" t="s">
        <v>14</v>
      </c>
    </row>
    <row r="89" spans="1:9" ht="15.75" x14ac:dyDescent="0.2">
      <c r="A89" s="7" t="s">
        <v>98</v>
      </c>
      <c r="B89" s="8" t="s">
        <v>99</v>
      </c>
      <c r="C89" s="18">
        <f>((fsw)/2)*(((tr_FET+tf_FET)*ns*Vout*Iin_peak_max)+(Coss*picoF*Vout^2))+(Pdiode_reverse/2)</f>
        <v>6.0488489689253226</v>
      </c>
      <c r="D89" s="9" t="s">
        <v>14</v>
      </c>
    </row>
    <row r="90" spans="1:9" ht="15.75" x14ac:dyDescent="0.2">
      <c r="A90" s="7" t="s">
        <v>100</v>
      </c>
      <c r="B90" s="8" t="s">
        <v>101</v>
      </c>
      <c r="C90" s="18">
        <f>P_FETcond+P_FETsw</f>
        <v>56.825848100129406</v>
      </c>
      <c r="D90" s="9" t="s">
        <v>14</v>
      </c>
    </row>
    <row r="91" spans="1:9" ht="16.5" thickBot="1" x14ac:dyDescent="0.25">
      <c r="A91" s="19" t="s">
        <v>61</v>
      </c>
      <c r="B91" s="20" t="s">
        <v>103</v>
      </c>
      <c r="C91" s="24">
        <f>((Tj_FET-Tamb)/P_FET)-Rth_jc_FET-1</f>
        <v>-0.28017807903461434</v>
      </c>
      <c r="D91" s="25" t="s">
        <v>44</v>
      </c>
    </row>
    <row r="92" spans="1:9" x14ac:dyDescent="0.2">
      <c r="A92" s="158"/>
      <c r="B92" s="158"/>
      <c r="C92" s="158"/>
      <c r="D92" s="158"/>
      <c r="F92" s="62"/>
      <c r="G92" s="62"/>
      <c r="H92" s="62"/>
      <c r="I92" s="62"/>
    </row>
    <row r="93" spans="1:9" ht="13.5" thickBot="1" x14ac:dyDescent="0.25">
      <c r="A93" s="159"/>
      <c r="B93" s="159"/>
      <c r="C93" s="159"/>
      <c r="D93" s="159"/>
      <c r="F93" s="62"/>
      <c r="G93" s="64"/>
      <c r="H93" s="64"/>
      <c r="I93" s="62"/>
    </row>
    <row r="94" spans="1:9" ht="15.75" x14ac:dyDescent="0.2">
      <c r="A94" s="155" t="s">
        <v>107</v>
      </c>
      <c r="B94" s="156"/>
      <c r="C94" s="156"/>
      <c r="D94" s="157"/>
      <c r="F94" s="62"/>
      <c r="G94" s="64"/>
      <c r="H94" s="64"/>
      <c r="I94" s="62"/>
    </row>
    <row r="95" spans="1:9" ht="14.25" x14ac:dyDescent="0.2">
      <c r="A95" s="31" t="s">
        <v>230</v>
      </c>
      <c r="B95" s="32" t="s">
        <v>227</v>
      </c>
      <c r="C95" s="33">
        <f>Visense_soc/(I_Lpeak*1.25)</f>
        <v>2.0508712949500265E-2</v>
      </c>
      <c r="D95" s="36" t="s">
        <v>14</v>
      </c>
      <c r="F95" s="62"/>
      <c r="G95" s="64"/>
      <c r="H95" s="64"/>
      <c r="I95" s="62"/>
    </row>
    <row r="96" spans="1:9" ht="15.75" x14ac:dyDescent="0.2">
      <c r="A96" s="7" t="s">
        <v>159</v>
      </c>
      <c r="B96" s="8" t="s">
        <v>111</v>
      </c>
      <c r="C96" s="2">
        <v>0.02</v>
      </c>
      <c r="D96" s="13" t="s">
        <v>14</v>
      </c>
      <c r="F96" s="62"/>
      <c r="G96" s="64"/>
      <c r="H96" s="64"/>
      <c r="I96" s="62"/>
    </row>
    <row r="97" spans="1:9" ht="15.75" x14ac:dyDescent="0.2">
      <c r="A97" s="7" t="s">
        <v>126</v>
      </c>
      <c r="B97" s="8" t="s">
        <v>112</v>
      </c>
      <c r="C97" s="18">
        <f>Visense_soc/Rsense</f>
        <v>33</v>
      </c>
      <c r="D97" s="9" t="s">
        <v>20</v>
      </c>
      <c r="F97" s="62"/>
      <c r="G97" s="64"/>
      <c r="H97" s="64"/>
      <c r="I97" s="62"/>
    </row>
    <row r="98" spans="1:9" ht="15.75" x14ac:dyDescent="0.2">
      <c r="A98" s="7" t="s">
        <v>113</v>
      </c>
      <c r="B98" s="8" t="s">
        <v>114</v>
      </c>
      <c r="C98" s="18">
        <f>(Iin_rms_max^2)*Rsense</f>
        <v>4.6028682062659589</v>
      </c>
      <c r="D98" s="9" t="s">
        <v>14</v>
      </c>
      <c r="F98" s="62"/>
      <c r="G98" s="64"/>
      <c r="H98" s="64"/>
      <c r="I98" s="62"/>
    </row>
    <row r="99" spans="1:9" ht="15.75" x14ac:dyDescent="0.2">
      <c r="A99" s="7" t="s">
        <v>122</v>
      </c>
      <c r="B99" s="8" t="s">
        <v>118</v>
      </c>
      <c r="C99" s="18">
        <f>(((Isoc-(Iripple_actual/2))*Vin_min*PF)/SQRT(2))/(eff*Vout)</f>
        <v>5.3676088066300123</v>
      </c>
      <c r="D99" s="9" t="s">
        <v>20</v>
      </c>
      <c r="F99" s="62"/>
      <c r="G99" s="64"/>
      <c r="H99" s="64"/>
      <c r="I99" s="62"/>
    </row>
    <row r="100" spans="1:9" ht="15.75" x14ac:dyDescent="0.2">
      <c r="A100" s="7" t="s">
        <v>115</v>
      </c>
      <c r="B100" s="8" t="s">
        <v>116</v>
      </c>
      <c r="C100" s="18">
        <f>Vpcl_max/Rsense</f>
        <v>57.499999999999993</v>
      </c>
      <c r="D100" s="9" t="s">
        <v>20</v>
      </c>
      <c r="F100" s="62"/>
      <c r="G100" s="64"/>
      <c r="H100" s="64"/>
      <c r="I100" s="62"/>
    </row>
    <row r="101" spans="1:9" ht="15.75" x14ac:dyDescent="0.2">
      <c r="A101" s="7" t="s">
        <v>200</v>
      </c>
      <c r="B101" s="8" t="s">
        <v>121</v>
      </c>
      <c r="C101" s="1">
        <v>5</v>
      </c>
      <c r="D101" s="13" t="s">
        <v>14</v>
      </c>
      <c r="F101" s="62"/>
      <c r="G101" s="64"/>
      <c r="H101" s="64"/>
      <c r="I101" s="62"/>
    </row>
    <row r="102" spans="1:9" ht="15.75" x14ac:dyDescent="0.2">
      <c r="A102" s="7" t="s">
        <v>119</v>
      </c>
      <c r="B102" s="8" t="s">
        <v>120</v>
      </c>
      <c r="C102" s="18">
        <f>Vin_rect_max/Rtherm</f>
        <v>74.953318805774046</v>
      </c>
      <c r="D102" s="9" t="s">
        <v>20</v>
      </c>
      <c r="F102" s="62"/>
      <c r="G102" s="64"/>
      <c r="H102" s="64"/>
      <c r="I102" s="62"/>
    </row>
    <row r="103" spans="1:9" ht="14.25" x14ac:dyDescent="0.2">
      <c r="A103" s="31" t="s">
        <v>164</v>
      </c>
      <c r="B103" s="32" t="s">
        <v>228</v>
      </c>
      <c r="C103" s="33">
        <f>Iinrush*Rsense/IISENSE</f>
        <v>68.139380732521872</v>
      </c>
      <c r="D103" s="36" t="s">
        <v>14</v>
      </c>
      <c r="F103" s="62"/>
      <c r="G103" s="64"/>
      <c r="H103" s="64"/>
      <c r="I103" s="62"/>
    </row>
    <row r="104" spans="1:9" ht="15.75" x14ac:dyDescent="0.2">
      <c r="A104" s="138" t="s">
        <v>491</v>
      </c>
      <c r="B104" s="106" t="s">
        <v>492</v>
      </c>
      <c r="C104" s="139">
        <v>220</v>
      </c>
      <c r="D104" s="13" t="s">
        <v>14</v>
      </c>
      <c r="F104" s="62"/>
      <c r="G104" s="64"/>
      <c r="H104" s="64"/>
      <c r="I104" s="62"/>
    </row>
    <row r="105" spans="1:9" ht="15" thickBot="1" x14ac:dyDescent="0.25">
      <c r="A105" s="27" t="s">
        <v>123</v>
      </c>
      <c r="B105" s="37" t="s">
        <v>229</v>
      </c>
      <c r="C105" s="38">
        <f>(1/(20*fsw*PI()*Risense_actual))/picoF</f>
        <v>1112.9716300132541</v>
      </c>
      <c r="D105" s="39" t="s">
        <v>97</v>
      </c>
      <c r="F105" s="62"/>
      <c r="G105" s="64"/>
      <c r="H105" s="64"/>
      <c r="I105" s="62"/>
    </row>
    <row r="106" spans="1:9" x14ac:dyDescent="0.2">
      <c r="A106" s="158"/>
      <c r="B106" s="158"/>
      <c r="C106" s="158"/>
      <c r="D106" s="158"/>
      <c r="F106" s="62"/>
      <c r="G106" s="64"/>
      <c r="H106" s="64"/>
      <c r="I106" s="62"/>
    </row>
    <row r="107" spans="1:9" ht="13.5" thickBot="1" x14ac:dyDescent="0.25">
      <c r="A107" s="159"/>
      <c r="B107" s="159"/>
      <c r="C107" s="159"/>
      <c r="D107" s="159"/>
      <c r="F107" s="62"/>
      <c r="G107" s="64"/>
      <c r="H107" s="64"/>
      <c r="I107" s="62"/>
    </row>
    <row r="108" spans="1:9" ht="15.75" x14ac:dyDescent="0.2">
      <c r="A108" s="155" t="s">
        <v>124</v>
      </c>
      <c r="B108" s="156"/>
      <c r="C108" s="156"/>
      <c r="D108" s="157"/>
      <c r="F108" s="62"/>
      <c r="G108" s="64"/>
      <c r="H108" s="64"/>
      <c r="I108" s="62"/>
    </row>
    <row r="109" spans="1:9" ht="15.75" x14ac:dyDescent="0.2">
      <c r="A109" s="7" t="s">
        <v>127</v>
      </c>
      <c r="B109" s="8" t="s">
        <v>128</v>
      </c>
      <c r="C109" s="1">
        <v>300</v>
      </c>
      <c r="D109" s="9" t="s">
        <v>13</v>
      </c>
      <c r="F109" s="62"/>
      <c r="G109" s="64"/>
      <c r="H109" s="64"/>
      <c r="I109" s="62"/>
    </row>
    <row r="110" spans="1:9" ht="15.75" x14ac:dyDescent="0.2">
      <c r="A110" s="7" t="s">
        <v>276</v>
      </c>
      <c r="B110" s="8" t="s">
        <v>278</v>
      </c>
      <c r="C110" s="1">
        <v>1</v>
      </c>
      <c r="D110" s="9"/>
      <c r="F110" s="62"/>
      <c r="G110" s="64"/>
      <c r="H110" s="64"/>
      <c r="I110" s="62"/>
    </row>
    <row r="111" spans="1:9" ht="15.75" x14ac:dyDescent="0.2">
      <c r="A111" s="7" t="s">
        <v>277</v>
      </c>
      <c r="B111" s="8" t="s">
        <v>279</v>
      </c>
      <c r="C111" s="41">
        <f>Ndropout*((1/fline_min)/ms)</f>
        <v>21.276595744680851</v>
      </c>
      <c r="D111" s="9" t="s">
        <v>125</v>
      </c>
      <c r="F111" s="62"/>
      <c r="G111" s="64"/>
      <c r="H111" s="64"/>
      <c r="I111" s="62"/>
    </row>
    <row r="112" spans="1:9" ht="14.25" x14ac:dyDescent="0.2">
      <c r="A112" s="31" t="s">
        <v>357</v>
      </c>
      <c r="B112" s="32" t="s">
        <v>232</v>
      </c>
      <c r="C112" s="33">
        <f>(((2*Pout*t_dropout_hu*ms)/((Vout^2)-(Vout_holdup^2))))/uF</f>
        <v>1008.6682427107959</v>
      </c>
      <c r="D112" s="36" t="s">
        <v>244</v>
      </c>
      <c r="F112" s="62"/>
      <c r="G112" s="64"/>
      <c r="H112" s="64"/>
      <c r="I112" s="62"/>
    </row>
    <row r="113" spans="1:9" ht="15.75" x14ac:dyDescent="0.2">
      <c r="A113" s="7" t="s">
        <v>138</v>
      </c>
      <c r="B113" s="8" t="s">
        <v>129</v>
      </c>
      <c r="C113" s="3">
        <v>1100</v>
      </c>
      <c r="D113" s="13" t="s">
        <v>32</v>
      </c>
      <c r="F113" s="62"/>
      <c r="G113" s="64"/>
      <c r="H113" s="64"/>
      <c r="I113" s="62"/>
    </row>
    <row r="114" spans="1:9" ht="15.75" x14ac:dyDescent="0.2">
      <c r="A114" s="7" t="s">
        <v>130</v>
      </c>
      <c r="B114" s="8" t="s">
        <v>131</v>
      </c>
      <c r="C114" s="18">
        <f>Iout/(PI()*2*fline_min*Cout*uF)</f>
        <v>9.8509829379896559</v>
      </c>
      <c r="D114" s="9" t="s">
        <v>13</v>
      </c>
      <c r="F114" s="62"/>
      <c r="G114" s="64"/>
      <c r="H114" s="64"/>
      <c r="I114" s="62"/>
    </row>
    <row r="115" spans="1:9" x14ac:dyDescent="0.2">
      <c r="A115" s="179" t="str">
        <f>IF(Vout_ripplepp&gt;=0.04*Vout,"OUTPUT CAPACITOR must be sized larger so OVP/UVD is not triggered","Good! Output voltage peak-peak ripple is less than 5% VOUT")</f>
        <v>Good! Output voltage peak-peak ripple is less than 5% VOUT</v>
      </c>
      <c r="B115" s="180"/>
      <c r="C115" s="180"/>
      <c r="D115" s="181"/>
      <c r="F115" s="62"/>
      <c r="G115" s="64"/>
      <c r="H115" s="64"/>
      <c r="I115" s="62"/>
    </row>
    <row r="116" spans="1:9" ht="15.75" x14ac:dyDescent="0.2">
      <c r="A116" s="7" t="s">
        <v>136</v>
      </c>
      <c r="B116" s="8" t="s">
        <v>132</v>
      </c>
      <c r="C116" s="18">
        <f>Iout/SQRT(2)</f>
        <v>2.2627416997969521</v>
      </c>
      <c r="D116" s="9" t="s">
        <v>134</v>
      </c>
      <c r="F116" s="62"/>
      <c r="G116" s="64"/>
      <c r="H116" s="64"/>
      <c r="I116" s="62"/>
    </row>
    <row r="117" spans="1:9" ht="15.75" x14ac:dyDescent="0.2">
      <c r="A117" s="7" t="s">
        <v>135</v>
      </c>
      <c r="B117" s="8" t="s">
        <v>133</v>
      </c>
      <c r="C117" s="18">
        <f>Iout*SQRT(((16*Vout)/(3*PI()*Vin_rect_min))-1.5)</f>
        <v>6.234646590035382</v>
      </c>
      <c r="D117" s="9" t="s">
        <v>134</v>
      </c>
      <c r="F117" s="62"/>
      <c r="G117" s="64"/>
      <c r="H117" s="64"/>
      <c r="I117" s="62"/>
    </row>
    <row r="118" spans="1:9" ht="16.5" thickBot="1" x14ac:dyDescent="0.25">
      <c r="A118" s="14" t="s">
        <v>193</v>
      </c>
      <c r="B118" s="15" t="s">
        <v>137</v>
      </c>
      <c r="C118" s="24">
        <f>SQRT((Icout_2fline^2)+(Icout_HF^2))</f>
        <v>6.6325574330449495</v>
      </c>
      <c r="D118" s="17" t="s">
        <v>134</v>
      </c>
      <c r="F118" s="62"/>
      <c r="G118" s="64"/>
      <c r="H118" s="64"/>
      <c r="I118" s="62"/>
    </row>
    <row r="119" spans="1:9" x14ac:dyDescent="0.2">
      <c r="A119" s="158"/>
      <c r="B119" s="158"/>
      <c r="C119" s="158"/>
      <c r="D119" s="158"/>
      <c r="F119" s="62"/>
      <c r="G119" s="64"/>
      <c r="H119" s="64"/>
      <c r="I119" s="62"/>
    </row>
    <row r="120" spans="1:9" ht="13.5" thickBot="1" x14ac:dyDescent="0.25">
      <c r="A120" s="159"/>
      <c r="B120" s="159"/>
      <c r="C120" s="159"/>
      <c r="D120" s="159"/>
      <c r="F120" s="62"/>
      <c r="G120" s="64"/>
      <c r="H120" s="64"/>
      <c r="I120" s="62"/>
    </row>
    <row r="121" spans="1:9" ht="15.75" x14ac:dyDescent="0.2">
      <c r="A121" s="155" t="s">
        <v>148</v>
      </c>
      <c r="B121" s="156"/>
      <c r="C121" s="156"/>
      <c r="D121" s="157"/>
      <c r="F121" s="62"/>
      <c r="G121" s="64"/>
      <c r="H121" s="64"/>
      <c r="I121" s="62"/>
    </row>
    <row r="122" spans="1:9" ht="14.25" x14ac:dyDescent="0.2">
      <c r="A122" s="31" t="s">
        <v>139</v>
      </c>
      <c r="B122" s="32" t="s">
        <v>233</v>
      </c>
      <c r="C122" s="42">
        <v>1</v>
      </c>
      <c r="D122" s="43" t="s">
        <v>246</v>
      </c>
      <c r="F122" s="62"/>
      <c r="G122" s="64"/>
      <c r="H122" s="64"/>
      <c r="I122" s="62"/>
    </row>
    <row r="123" spans="1:9" ht="15.75" x14ac:dyDescent="0.2">
      <c r="A123" s="7" t="s">
        <v>141</v>
      </c>
      <c r="B123" s="8" t="s">
        <v>142</v>
      </c>
      <c r="C123" s="1">
        <v>1.004</v>
      </c>
      <c r="D123" s="9" t="s">
        <v>140</v>
      </c>
    </row>
    <row r="124" spans="1:9" ht="15.75" x14ac:dyDescent="0.2">
      <c r="A124" s="44" t="s">
        <v>194</v>
      </c>
      <c r="B124" s="10" t="s">
        <v>197</v>
      </c>
      <c r="C124" s="1">
        <v>1</v>
      </c>
      <c r="D124" s="9" t="s">
        <v>195</v>
      </c>
    </row>
    <row r="125" spans="1:9" ht="15.75" x14ac:dyDescent="0.2">
      <c r="A125" s="44" t="s">
        <v>216</v>
      </c>
      <c r="B125" s="26" t="s">
        <v>219</v>
      </c>
      <c r="C125" s="1">
        <v>100</v>
      </c>
      <c r="D125" s="9" t="s">
        <v>217</v>
      </c>
    </row>
    <row r="126" spans="1:9" ht="14.25" x14ac:dyDescent="0.2">
      <c r="A126" s="119" t="s">
        <v>143</v>
      </c>
      <c r="B126" s="32" t="s">
        <v>234</v>
      </c>
      <c r="C126" s="33">
        <f>(Vref*_Rfb1*kOhm)/(Vout-Vref)</f>
        <v>13.567567567567568</v>
      </c>
      <c r="D126" s="43" t="s">
        <v>245</v>
      </c>
      <c r="F126" s="62"/>
      <c r="G126" s="64"/>
      <c r="H126" s="64"/>
      <c r="I126" s="62"/>
    </row>
    <row r="127" spans="1:9" ht="15.75" x14ac:dyDescent="0.2">
      <c r="A127" s="120" t="s">
        <v>141</v>
      </c>
      <c r="B127" s="8" t="s">
        <v>144</v>
      </c>
      <c r="C127" s="4">
        <v>13</v>
      </c>
      <c r="D127" s="9" t="s">
        <v>145</v>
      </c>
      <c r="F127" s="62"/>
      <c r="G127" s="64"/>
      <c r="H127" s="64"/>
      <c r="I127" s="62"/>
    </row>
    <row r="128" spans="1:9" ht="15.75" x14ac:dyDescent="0.2">
      <c r="A128" s="44" t="s">
        <v>196</v>
      </c>
      <c r="B128" s="10" t="s">
        <v>198</v>
      </c>
      <c r="C128" s="1">
        <v>1</v>
      </c>
      <c r="D128" s="9" t="s">
        <v>195</v>
      </c>
      <c r="F128" s="62"/>
      <c r="G128" s="64"/>
      <c r="H128" s="64"/>
      <c r="I128" s="62"/>
    </row>
    <row r="129" spans="1:9" ht="15.75" x14ac:dyDescent="0.2">
      <c r="A129" s="44" t="s">
        <v>218</v>
      </c>
      <c r="B129" s="26" t="s">
        <v>220</v>
      </c>
      <c r="C129" s="1">
        <v>100</v>
      </c>
      <c r="D129" s="9" t="s">
        <v>217</v>
      </c>
      <c r="F129" s="62"/>
      <c r="G129" s="64"/>
      <c r="H129" s="64"/>
      <c r="I129" s="62"/>
    </row>
    <row r="130" spans="1:9" ht="15.75" x14ac:dyDescent="0.2">
      <c r="A130" s="7" t="s">
        <v>146</v>
      </c>
      <c r="B130" s="8" t="s">
        <v>147</v>
      </c>
      <c r="C130" s="18">
        <f>Vref*((_Rfb1*MegOhm)+(_Rfb2*kOhm))/(_Rfb2*kOhm)</f>
        <v>391.15384615384613</v>
      </c>
      <c r="D130" s="9" t="s">
        <v>13</v>
      </c>
      <c r="F130" s="62"/>
      <c r="G130" s="64"/>
      <c r="H130" s="64"/>
      <c r="I130" s="62"/>
    </row>
    <row r="131" spans="1:9" ht="15.75" x14ac:dyDescent="0.2">
      <c r="A131" s="46" t="s">
        <v>353</v>
      </c>
      <c r="B131" s="106" t="s">
        <v>439</v>
      </c>
      <c r="C131" s="18">
        <f>Vout_nom-SQRT((((((_Rfb1*MegOhm)+(_Rfb2*kOhm))/(_Rfb2*kOhm))*0.1)^2)+(((Vref/(_Rfb2*kOhm))*(((Rfb1_tempco*10^-6)*(Tamb-25))+(delta_Rfb1/100))*(_Rfb1*MegOhm))^2)+(((5*(_Rfb1*MegOhm))*((-1)*((_Rfb2*kOhm)^-2))*(((Rfb2_tempco*10^-6)*(Tamb-25))+(delta_Rfb2/100))*(_Rfb2*kOhm)))^2)</f>
        <v>380.77122098843427</v>
      </c>
      <c r="D131" s="9" t="s">
        <v>13</v>
      </c>
      <c r="F131" s="62"/>
      <c r="G131" s="64"/>
      <c r="H131" s="64"/>
      <c r="I131" s="62"/>
    </row>
    <row r="132" spans="1:9" ht="15.75" x14ac:dyDescent="0.2">
      <c r="A132" s="46" t="s">
        <v>354</v>
      </c>
      <c r="B132" s="106" t="s">
        <v>440</v>
      </c>
      <c r="C132" s="18">
        <f>Vout_nom+SQRT((((((_Rfb1*MegOhm)+(_Rfb2*kOhm))/(_Rfb2*kOhm))*0.1)^2)+(((5/(_Rfb2*kOhm))*(((Rfb1_tempco*10^-6)*(Tamb-25))+(delta_Rfb1/100))*(_Rfb1*MegOhm))^2)+(((5*(_Rfb1*MegOhm))*((-1)*((_Rfb2*kOhm)^-2))*(((Rfb2_tempco*10^-6)*(Tamb-25))+(delta_Rfb2/100))*(_Rfb2*kOhm)))^2)</f>
        <v>401.536471319258</v>
      </c>
      <c r="D132" s="9" t="s">
        <v>13</v>
      </c>
      <c r="F132" s="62"/>
      <c r="G132" s="64"/>
      <c r="H132" s="64"/>
      <c r="I132" s="62"/>
    </row>
    <row r="133" spans="1:9" ht="15.75" x14ac:dyDescent="0.2">
      <c r="A133" s="7" t="s">
        <v>150</v>
      </c>
      <c r="B133" s="8" t="s">
        <v>149</v>
      </c>
      <c r="C133" s="18">
        <f>(Vref_ovp)*((_Rfb1*MegOhm)+(_Rfb2*kOhm))/(_Rfb2*kOhm)</f>
        <v>410.71153846153845</v>
      </c>
      <c r="D133" s="9" t="s">
        <v>13</v>
      </c>
      <c r="F133" s="62"/>
      <c r="G133" s="64"/>
      <c r="H133" s="64"/>
      <c r="I133" s="62"/>
    </row>
    <row r="134" spans="1:9" ht="15.75" x14ac:dyDescent="0.2">
      <c r="A134" s="7" t="s">
        <v>430</v>
      </c>
      <c r="B134" s="8" t="s">
        <v>431</v>
      </c>
      <c r="C134" s="18">
        <f>(Vref_ovpmax)*((_Rfb1*MegOhm)+(_Rfb2*kOhm))/(_Rfb2*kOhm)</f>
        <v>420.88153846153847</v>
      </c>
      <c r="D134" s="59" t="s">
        <v>13</v>
      </c>
      <c r="F134" s="62"/>
      <c r="G134" s="64"/>
      <c r="H134" s="64"/>
      <c r="I134" s="62"/>
    </row>
    <row r="135" spans="1:9" ht="15.75" x14ac:dyDescent="0.2">
      <c r="A135" s="105" t="s">
        <v>434</v>
      </c>
      <c r="B135" s="106" t="s">
        <v>435</v>
      </c>
      <c r="C135" s="18">
        <f>(Vref_ovpmin)*((_Rfb1*MegOhm)+(_Rfb2*kOhm))/(_Rfb2*kOhm)</f>
        <v>400.54153846153844</v>
      </c>
      <c r="D135" s="59" t="s">
        <v>13</v>
      </c>
      <c r="F135" s="62"/>
      <c r="G135" s="64"/>
      <c r="H135" s="64"/>
      <c r="I135" s="62"/>
    </row>
    <row r="136" spans="1:9" ht="15.75" x14ac:dyDescent="0.2">
      <c r="A136" s="7" t="s">
        <v>289</v>
      </c>
      <c r="B136" s="8" t="s">
        <v>290</v>
      </c>
      <c r="C136" s="18">
        <f>(Vref_uvd)*((_Rfb1*MegOhm)+(_Rfb2*kOhm))/(_Rfb2*kOhm)</f>
        <v>371.59615384615387</v>
      </c>
      <c r="D136" s="9" t="s">
        <v>13</v>
      </c>
      <c r="F136" s="62"/>
      <c r="G136" s="64"/>
      <c r="H136" s="64"/>
      <c r="I136" s="62"/>
    </row>
    <row r="137" spans="1:9" ht="15.75" x14ac:dyDescent="0.2">
      <c r="A137" s="105" t="s">
        <v>438</v>
      </c>
      <c r="B137" s="106" t="s">
        <v>441</v>
      </c>
      <c r="C137" s="18">
        <f>(Vref_uvdmax)*((_Rfb1*MegOhm)+(_Rfb2*kOhm))/(_Rfb2*kOhm)</f>
        <v>380.98384615384617</v>
      </c>
      <c r="D137" s="9" t="s">
        <v>13</v>
      </c>
      <c r="F137" s="62"/>
      <c r="G137" s="64"/>
      <c r="H137" s="64"/>
      <c r="I137" s="62"/>
    </row>
    <row r="138" spans="1:9" ht="15.75" x14ac:dyDescent="0.2">
      <c r="A138" s="105" t="s">
        <v>443</v>
      </c>
      <c r="B138" s="106" t="s">
        <v>442</v>
      </c>
      <c r="C138" s="18">
        <f>(Vref_uvdmin)*((_Rfb1*MegOhm)+(_Rfb2*kOhm))/(_Rfb2*kOhm)</f>
        <v>362.20846153846156</v>
      </c>
      <c r="D138" s="9" t="s">
        <v>13</v>
      </c>
      <c r="F138" s="62"/>
      <c r="G138" s="64"/>
      <c r="H138" s="64"/>
      <c r="I138" s="62"/>
    </row>
    <row r="139" spans="1:9" ht="14.25" x14ac:dyDescent="0.2">
      <c r="A139" s="31" t="s">
        <v>236</v>
      </c>
      <c r="B139" s="32" t="s">
        <v>237</v>
      </c>
      <c r="C139" s="33">
        <f>((t_RFB2Cvsense*ms)/(_Rfb2*kOhm))/picoF</f>
        <v>769.2307692307694</v>
      </c>
      <c r="D139" s="34" t="s">
        <v>97</v>
      </c>
      <c r="F139" s="62"/>
      <c r="G139" s="64"/>
      <c r="H139" s="64"/>
      <c r="I139" s="62"/>
    </row>
    <row r="140" spans="1:9" ht="16.5" thickBot="1" x14ac:dyDescent="0.25">
      <c r="A140" s="47" t="s">
        <v>268</v>
      </c>
      <c r="B140" s="48" t="s">
        <v>269</v>
      </c>
      <c r="C140" s="49">
        <f>(Vout_nom^2)/((_Rfb1*MegOhm)+(_Rfb2*kOhm))</f>
        <v>0.1504437869822485</v>
      </c>
      <c r="D140" s="50" t="s">
        <v>14</v>
      </c>
      <c r="F140" s="62"/>
      <c r="G140" s="64"/>
      <c r="H140" s="64"/>
      <c r="I140" s="62"/>
    </row>
    <row r="141" spans="1:9" x14ac:dyDescent="0.2">
      <c r="A141" s="163"/>
      <c r="B141" s="163"/>
      <c r="C141" s="163"/>
      <c r="D141" s="163"/>
      <c r="F141" s="62"/>
      <c r="G141" s="64"/>
      <c r="H141" s="64"/>
      <c r="I141" s="62"/>
    </row>
    <row r="142" spans="1:9" ht="13.5" thickBot="1" x14ac:dyDescent="0.25">
      <c r="A142" s="164"/>
      <c r="B142" s="164"/>
      <c r="C142" s="164"/>
      <c r="D142" s="164"/>
      <c r="F142" s="62"/>
      <c r="G142" s="64"/>
      <c r="H142" s="64"/>
      <c r="I142" s="62"/>
    </row>
    <row r="143" spans="1:9" ht="15.75" customHeight="1" x14ac:dyDescent="0.2">
      <c r="A143" s="155" t="s">
        <v>165</v>
      </c>
      <c r="B143" s="156"/>
      <c r="C143" s="156"/>
      <c r="D143" s="157"/>
      <c r="F143" s="62"/>
      <c r="G143" s="64"/>
      <c r="H143" s="64"/>
      <c r="I143" s="62"/>
    </row>
    <row r="144" spans="1:9" ht="15.2" customHeight="1" x14ac:dyDescent="0.2">
      <c r="A144" s="165" t="s">
        <v>185</v>
      </c>
      <c r="B144" s="166"/>
      <c r="C144" s="166"/>
      <c r="D144" s="167"/>
      <c r="F144" s="62"/>
      <c r="G144" s="64"/>
      <c r="H144" s="64"/>
      <c r="I144" s="62"/>
    </row>
    <row r="145" spans="1:9" ht="15.2" customHeight="1" x14ac:dyDescent="0.2">
      <c r="A145" s="44"/>
      <c r="B145" s="22"/>
      <c r="C145" s="22"/>
      <c r="D145" s="52"/>
      <c r="F145" s="62"/>
      <c r="G145" s="64"/>
      <c r="H145" s="64"/>
      <c r="I145" s="62"/>
    </row>
    <row r="146" spans="1:9" ht="15.2" customHeight="1" x14ac:dyDescent="0.2">
      <c r="A146" s="44"/>
      <c r="B146" s="22"/>
      <c r="C146" s="22"/>
      <c r="D146" s="52"/>
      <c r="F146" s="62"/>
      <c r="G146" s="64"/>
      <c r="H146" s="64"/>
      <c r="I146" s="62"/>
    </row>
    <row r="147" spans="1:9" ht="15.2" customHeight="1" x14ac:dyDescent="0.2">
      <c r="A147" s="44"/>
      <c r="B147" s="22"/>
      <c r="C147" s="22"/>
      <c r="D147" s="52"/>
      <c r="F147" s="62"/>
      <c r="G147" s="64"/>
      <c r="H147" s="64"/>
      <c r="I147" s="62"/>
    </row>
    <row r="148" spans="1:9" ht="15.2" customHeight="1" x14ac:dyDescent="0.2">
      <c r="A148" s="44"/>
      <c r="B148" s="22"/>
      <c r="C148" s="22"/>
      <c r="D148" s="52"/>
      <c r="F148" s="62"/>
      <c r="G148" s="64"/>
      <c r="H148" s="64"/>
      <c r="I148" s="62"/>
    </row>
    <row r="149" spans="1:9" ht="15.2" customHeight="1" x14ac:dyDescent="0.2">
      <c r="A149" s="65"/>
      <c r="B149" s="66"/>
      <c r="C149" s="66"/>
      <c r="D149" s="67"/>
      <c r="F149" s="62"/>
      <c r="G149" s="64"/>
      <c r="H149" s="64"/>
      <c r="I149" s="62"/>
    </row>
    <row r="150" spans="1:9" ht="15.2" customHeight="1" x14ac:dyDescent="0.2">
      <c r="A150" s="65"/>
      <c r="B150" s="66"/>
      <c r="C150" s="66"/>
      <c r="D150" s="67"/>
      <c r="F150" s="62"/>
      <c r="G150" s="64"/>
      <c r="H150" s="64"/>
      <c r="I150" s="62"/>
    </row>
    <row r="151" spans="1:9" ht="15.2" customHeight="1" x14ac:dyDescent="0.2">
      <c r="A151" s="65"/>
      <c r="B151" s="66"/>
      <c r="C151" s="66"/>
      <c r="D151" s="67"/>
      <c r="F151" s="62"/>
      <c r="G151" s="64"/>
      <c r="H151" s="64"/>
      <c r="I151" s="62"/>
    </row>
    <row r="152" spans="1:9" ht="15.2" customHeight="1" x14ac:dyDescent="0.2">
      <c r="A152" s="65"/>
      <c r="B152" s="66"/>
      <c r="C152" s="66"/>
      <c r="D152" s="67"/>
      <c r="F152" s="62"/>
      <c r="G152" s="64"/>
      <c r="H152" s="64"/>
      <c r="I152" s="62"/>
    </row>
    <row r="153" spans="1:9" ht="15.2" customHeight="1" x14ac:dyDescent="0.2">
      <c r="A153" s="44"/>
      <c r="B153" s="22"/>
      <c r="C153" s="22"/>
      <c r="D153" s="52"/>
      <c r="F153" s="62"/>
      <c r="G153" s="64"/>
      <c r="H153" s="64"/>
      <c r="I153" s="62"/>
    </row>
    <row r="154" spans="1:9" ht="15.2" customHeight="1" x14ac:dyDescent="0.2">
      <c r="A154" s="44"/>
      <c r="B154" s="22"/>
      <c r="C154" s="22"/>
      <c r="D154" s="52"/>
      <c r="F154" s="62"/>
      <c r="G154" s="64"/>
      <c r="H154" s="64"/>
      <c r="I154" s="62"/>
    </row>
    <row r="155" spans="1:9" ht="15.2" customHeight="1" x14ac:dyDescent="0.2">
      <c r="A155" s="44"/>
      <c r="B155" s="22"/>
      <c r="C155" s="22"/>
      <c r="D155" s="52"/>
      <c r="F155" s="62"/>
      <c r="G155" s="64"/>
      <c r="H155" s="64"/>
      <c r="I155" s="62"/>
    </row>
    <row r="156" spans="1:9" ht="15.2" customHeight="1" x14ac:dyDescent="0.2">
      <c r="A156" s="44"/>
      <c r="B156" s="22"/>
      <c r="C156" s="22"/>
      <c r="D156" s="52"/>
      <c r="F156" s="62"/>
      <c r="G156" s="64"/>
      <c r="H156" s="64"/>
      <c r="I156" s="62"/>
    </row>
    <row r="157" spans="1:9" ht="15.2" customHeight="1" x14ac:dyDescent="0.2">
      <c r="A157" s="65"/>
      <c r="B157" s="66"/>
      <c r="C157" s="66"/>
      <c r="D157" s="68"/>
      <c r="F157" s="62"/>
      <c r="G157" s="64"/>
      <c r="H157" s="64"/>
      <c r="I157" s="62"/>
    </row>
    <row r="158" spans="1:9" ht="15.2" customHeight="1" x14ac:dyDescent="0.2">
      <c r="A158" s="65"/>
      <c r="B158" s="66"/>
      <c r="C158" s="66"/>
      <c r="D158" s="68"/>
      <c r="F158" s="62"/>
      <c r="G158" s="64"/>
      <c r="H158" s="64"/>
      <c r="I158" s="62"/>
    </row>
    <row r="159" spans="1:9" ht="15.2" customHeight="1" x14ac:dyDescent="0.2">
      <c r="A159" s="65"/>
      <c r="B159" s="66"/>
      <c r="C159" s="66"/>
      <c r="D159" s="68"/>
      <c r="F159" s="62"/>
      <c r="G159" s="64"/>
      <c r="H159" s="64"/>
      <c r="I159" s="62"/>
    </row>
    <row r="160" spans="1:9" ht="15.2" customHeight="1" x14ac:dyDescent="0.2">
      <c r="A160" s="65"/>
      <c r="B160" s="66"/>
      <c r="C160" s="66"/>
      <c r="D160" s="68"/>
      <c r="F160" s="62"/>
      <c r="G160" s="64"/>
      <c r="H160" s="64"/>
      <c r="I160" s="62"/>
    </row>
    <row r="161" spans="1:9" ht="15.2" customHeight="1" x14ac:dyDescent="0.2">
      <c r="A161" s="65"/>
      <c r="B161" s="66"/>
      <c r="C161" s="66"/>
      <c r="D161" s="68"/>
      <c r="F161" s="62"/>
    </row>
    <row r="162" spans="1:9" ht="15.2" customHeight="1" x14ac:dyDescent="0.2">
      <c r="A162" s="65"/>
      <c r="B162" s="66"/>
      <c r="C162" s="66"/>
      <c r="D162" s="68"/>
      <c r="F162" s="62"/>
      <c r="G162" s="64"/>
      <c r="H162" s="64"/>
      <c r="I162" s="62"/>
    </row>
    <row r="163" spans="1:9" ht="15.2" customHeight="1" x14ac:dyDescent="0.2">
      <c r="A163" s="65"/>
      <c r="B163" s="66"/>
      <c r="C163" s="66"/>
      <c r="D163" s="68"/>
      <c r="F163" s="62"/>
      <c r="G163" s="64"/>
      <c r="H163" s="64"/>
      <c r="I163" s="62"/>
    </row>
    <row r="164" spans="1:9" ht="15.2" customHeight="1" x14ac:dyDescent="0.2">
      <c r="A164" s="65"/>
      <c r="B164" s="66"/>
      <c r="C164" s="66"/>
      <c r="D164" s="68"/>
      <c r="F164" s="62"/>
      <c r="G164" s="64"/>
      <c r="H164" s="64"/>
      <c r="I164" s="62"/>
    </row>
    <row r="165" spans="1:9" ht="15.2" customHeight="1" x14ac:dyDescent="0.2">
      <c r="A165" s="65"/>
      <c r="B165" s="66"/>
      <c r="C165" s="66"/>
      <c r="D165" s="68"/>
      <c r="F165" s="62"/>
      <c r="G165" s="64"/>
      <c r="H165" s="64"/>
      <c r="I165" s="62"/>
    </row>
    <row r="166" spans="1:9" ht="15.2" customHeight="1" x14ac:dyDescent="0.2">
      <c r="A166" s="65"/>
      <c r="B166" s="66"/>
      <c r="C166" s="66"/>
      <c r="D166" s="68"/>
      <c r="F166" s="62"/>
      <c r="G166" s="64"/>
      <c r="H166" s="64"/>
      <c r="I166" s="62"/>
    </row>
    <row r="167" spans="1:9" ht="15.75" customHeight="1" x14ac:dyDescent="0.2">
      <c r="A167" s="65"/>
      <c r="B167" s="66"/>
      <c r="C167" s="66"/>
      <c r="D167" s="68"/>
      <c r="F167" s="62"/>
      <c r="G167" s="64"/>
      <c r="H167" s="64"/>
      <c r="I167" s="62"/>
    </row>
    <row r="168" spans="1:9" ht="15.75" customHeight="1" x14ac:dyDescent="0.2">
      <c r="A168" s="7" t="s">
        <v>450</v>
      </c>
      <c r="B168" s="8" t="s">
        <v>166</v>
      </c>
      <c r="C168" s="33">
        <f>(Iout*(Vout_nom^2)*Rsense*K_1)/(eff^2*(VINnom^2)*K_fq)*us</f>
        <v>9.5318061471133517E-2</v>
      </c>
      <c r="D168" s="51" t="s">
        <v>170</v>
      </c>
      <c r="F168" s="62"/>
      <c r="G168" s="64"/>
      <c r="H168" s="64"/>
      <c r="I168" s="62"/>
    </row>
    <row r="169" spans="1:9" x14ac:dyDescent="0.2">
      <c r="A169" s="121" t="s">
        <v>451</v>
      </c>
      <c r="B169" s="8" t="s">
        <v>167</v>
      </c>
      <c r="C169" s="33">
        <f>Vcomp</f>
        <v>3.2149991750617071</v>
      </c>
      <c r="D169" s="128" t="s">
        <v>13</v>
      </c>
      <c r="F169" s="62"/>
      <c r="G169" s="64"/>
      <c r="H169" s="64"/>
      <c r="I169" s="62"/>
    </row>
    <row r="170" spans="1:9" ht="15.75" x14ac:dyDescent="0.2">
      <c r="A170" s="53" t="s">
        <v>186</v>
      </c>
      <c r="B170" s="26" t="s">
        <v>168</v>
      </c>
      <c r="C170" s="54">
        <f>IF(Vcomp&lt;2,(0.064),IF(Vcomp&lt;3,(0.139*Vcomp-0.214),IF(Vcomp&lt;5.5,(0.279*Vcomp-0.632),IF(Vcomp&lt;7,0.903,"VCOMP MUST BE &lt; 7"))))</f>
        <v>0.26498476984221631</v>
      </c>
      <c r="D170" s="55"/>
      <c r="F170" s="62"/>
      <c r="G170" s="64"/>
      <c r="H170" s="64"/>
      <c r="I170" s="62"/>
    </row>
    <row r="171" spans="1:9" ht="15.75" x14ac:dyDescent="0.2">
      <c r="A171" s="53" t="s">
        <v>187</v>
      </c>
      <c r="B171" s="26" t="s">
        <v>169</v>
      </c>
      <c r="C171" s="54">
        <f>IF(Vcomp&lt;=1.5,0,IF(Vcomp&lt;5.6,(0.1223*(Vcomp-1.5)^2),IF(Vcomp&lt;7,2.056,"VCOMP MUST BE &lt; 7")))</f>
        <v>0.35971147144754367</v>
      </c>
      <c r="D171" s="51" t="s">
        <v>170</v>
      </c>
    </row>
    <row r="172" spans="1:9" ht="15.75" x14ac:dyDescent="0.2">
      <c r="A172" s="105" t="s">
        <v>453</v>
      </c>
      <c r="B172" s="8" t="s">
        <v>454</v>
      </c>
      <c r="C172" s="129">
        <f>IF(Vcomp&gt;=3,((0.1026*(Vcomp^2))-(0.3596*Vcomp)+0.3085),(0.051*(Vcomp^2)-(0.1543*Vcomp)+0.1167))</f>
        <v>0.21288243742123925</v>
      </c>
      <c r="D172" s="9"/>
      <c r="E172" s="69"/>
    </row>
    <row r="173" spans="1:9" ht="15.75" x14ac:dyDescent="0.2">
      <c r="A173" s="53" t="s">
        <v>281</v>
      </c>
      <c r="B173" s="26" t="s">
        <v>221</v>
      </c>
      <c r="C173" s="61">
        <v>9.5</v>
      </c>
      <c r="D173" s="57" t="s">
        <v>173</v>
      </c>
      <c r="E173" s="40"/>
      <c r="F173" s="40"/>
      <c r="G173" s="40"/>
      <c r="H173" s="40"/>
    </row>
    <row r="174" spans="1:9" ht="14.25" x14ac:dyDescent="0.2">
      <c r="A174" s="31" t="s">
        <v>174</v>
      </c>
      <c r="B174" s="32" t="s">
        <v>235</v>
      </c>
      <c r="C174" s="60">
        <f>(((0.95*10^-3)*M_1)/(7*2*PI()*(f_Iavg*10^3)))*10^12</f>
        <v>602.48051377795593</v>
      </c>
      <c r="D174" s="34" t="s">
        <v>97</v>
      </c>
    </row>
    <row r="175" spans="1:9" ht="15.75" x14ac:dyDescent="0.2">
      <c r="A175" s="7" t="s">
        <v>175</v>
      </c>
      <c r="B175" s="26" t="s">
        <v>176</v>
      </c>
      <c r="C175" s="1">
        <v>1000</v>
      </c>
      <c r="D175" s="57" t="s">
        <v>97</v>
      </c>
    </row>
    <row r="176" spans="1:9" ht="15.75" x14ac:dyDescent="0.2">
      <c r="A176" s="7" t="s">
        <v>222</v>
      </c>
      <c r="B176" s="26" t="s">
        <v>223</v>
      </c>
      <c r="C176" s="56">
        <f>((0.95*10^-3*M_1)/(7*2*PI()*Cicomp*10^-12))*10^-3</f>
        <v>5.7235648808905815</v>
      </c>
      <c r="D176" s="9" t="s">
        <v>173</v>
      </c>
    </row>
    <row r="177" spans="1:4" x14ac:dyDescent="0.2">
      <c r="A177" s="44"/>
      <c r="B177" s="45"/>
      <c r="C177" s="77"/>
      <c r="D177" s="52"/>
    </row>
    <row r="178" spans="1:4" x14ac:dyDescent="0.2">
      <c r="A178" s="44"/>
      <c r="B178" s="22"/>
      <c r="C178" s="22"/>
      <c r="D178" s="52"/>
    </row>
    <row r="179" spans="1:4" x14ac:dyDescent="0.2">
      <c r="A179" s="44"/>
      <c r="B179" s="22"/>
      <c r="C179" s="22"/>
      <c r="D179" s="52"/>
    </row>
    <row r="180" spans="1:4" x14ac:dyDescent="0.2">
      <c r="A180" s="70"/>
      <c r="B180" s="45"/>
      <c r="C180" s="45"/>
      <c r="D180" s="71"/>
    </row>
    <row r="181" spans="1:4" x14ac:dyDescent="0.2">
      <c r="A181" s="44"/>
      <c r="B181" s="22"/>
      <c r="C181" s="22"/>
      <c r="D181" s="52"/>
    </row>
    <row r="182" spans="1:4" x14ac:dyDescent="0.2">
      <c r="A182" s="44"/>
      <c r="B182" s="22"/>
      <c r="C182" s="22"/>
      <c r="D182" s="52"/>
    </row>
    <row r="183" spans="1:4" x14ac:dyDescent="0.2">
      <c r="A183" s="44"/>
      <c r="B183" s="22"/>
      <c r="C183" s="22"/>
      <c r="D183" s="52"/>
    </row>
    <row r="184" spans="1:4" x14ac:dyDescent="0.2">
      <c r="A184" s="44"/>
      <c r="B184" s="22"/>
      <c r="C184" s="22"/>
      <c r="D184" s="52"/>
    </row>
    <row r="185" spans="1:4" x14ac:dyDescent="0.2">
      <c r="A185" s="44"/>
      <c r="B185" s="22"/>
      <c r="C185" s="22"/>
      <c r="D185" s="52"/>
    </row>
    <row r="186" spans="1:4" x14ac:dyDescent="0.2">
      <c r="A186" s="44"/>
      <c r="B186" s="22"/>
      <c r="C186" s="22"/>
      <c r="D186" s="52"/>
    </row>
    <row r="187" spans="1:4" x14ac:dyDescent="0.2">
      <c r="A187" s="44"/>
      <c r="B187" s="22"/>
      <c r="C187" s="22"/>
      <c r="D187" s="52"/>
    </row>
    <row r="188" spans="1:4" x14ac:dyDescent="0.2">
      <c r="A188" s="44"/>
      <c r="B188" s="22"/>
      <c r="C188" s="22"/>
      <c r="D188" s="52"/>
    </row>
    <row r="189" spans="1:4" x14ac:dyDescent="0.2">
      <c r="A189" s="44"/>
      <c r="B189" s="22"/>
      <c r="C189" s="22"/>
      <c r="D189" s="52"/>
    </row>
    <row r="190" spans="1:4" x14ac:dyDescent="0.2">
      <c r="A190" s="44"/>
      <c r="B190" s="22"/>
      <c r="C190" s="22"/>
      <c r="D190" s="52"/>
    </row>
    <row r="191" spans="1:4" x14ac:dyDescent="0.2">
      <c r="A191" s="44"/>
      <c r="B191" s="22"/>
      <c r="C191" s="22"/>
      <c r="D191" s="52"/>
    </row>
    <row r="192" spans="1:4" x14ac:dyDescent="0.2">
      <c r="A192" s="44"/>
      <c r="B192" s="22"/>
      <c r="C192" s="22"/>
      <c r="D192" s="52"/>
    </row>
    <row r="193" spans="1:4" x14ac:dyDescent="0.2">
      <c r="A193" s="44"/>
      <c r="B193" s="22"/>
      <c r="C193" s="22"/>
      <c r="D193" s="52"/>
    </row>
    <row r="194" spans="1:4" x14ac:dyDescent="0.2">
      <c r="A194" s="44"/>
      <c r="B194" s="22"/>
      <c r="C194" s="22"/>
      <c r="D194" s="52"/>
    </row>
    <row r="195" spans="1:4" x14ac:dyDescent="0.2">
      <c r="A195" s="44"/>
      <c r="B195" s="22"/>
      <c r="C195" s="22"/>
      <c r="D195" s="52"/>
    </row>
    <row r="196" spans="1:4" x14ac:dyDescent="0.2">
      <c r="A196" s="44"/>
      <c r="B196" s="22"/>
      <c r="C196" s="22"/>
      <c r="D196" s="52"/>
    </row>
    <row r="197" spans="1:4" x14ac:dyDescent="0.2">
      <c r="A197" s="44"/>
      <c r="B197" s="22"/>
      <c r="C197" s="22"/>
      <c r="D197" s="52"/>
    </row>
    <row r="198" spans="1:4" x14ac:dyDescent="0.2">
      <c r="A198" s="44"/>
      <c r="B198" s="22"/>
      <c r="C198" s="22"/>
      <c r="D198" s="52"/>
    </row>
    <row r="199" spans="1:4" x14ac:dyDescent="0.2">
      <c r="A199" s="44"/>
      <c r="B199" s="22"/>
      <c r="C199" s="22"/>
      <c r="D199" s="52"/>
    </row>
    <row r="200" spans="1:4" x14ac:dyDescent="0.2">
      <c r="A200" s="44"/>
      <c r="B200" s="22"/>
      <c r="C200" s="22"/>
      <c r="D200" s="52"/>
    </row>
    <row r="201" spans="1:4" x14ac:dyDescent="0.2">
      <c r="A201" s="44"/>
      <c r="B201" s="22"/>
      <c r="C201" s="22"/>
      <c r="D201" s="52"/>
    </row>
    <row r="202" spans="1:4" x14ac:dyDescent="0.2">
      <c r="A202" s="44"/>
      <c r="B202" s="22"/>
      <c r="C202" s="22"/>
      <c r="D202" s="52"/>
    </row>
    <row r="203" spans="1:4" x14ac:dyDescent="0.2">
      <c r="A203" s="44"/>
      <c r="B203" s="22"/>
      <c r="C203" s="22"/>
      <c r="D203" s="52"/>
    </row>
    <row r="204" spans="1:4" x14ac:dyDescent="0.2">
      <c r="A204" s="44"/>
      <c r="B204" s="22"/>
      <c r="C204" s="22"/>
      <c r="D204" s="52"/>
    </row>
    <row r="205" spans="1:4" x14ac:dyDescent="0.2">
      <c r="A205" s="44"/>
      <c r="B205" s="22"/>
      <c r="C205" s="22"/>
      <c r="D205" s="52"/>
    </row>
    <row r="206" spans="1:4" x14ac:dyDescent="0.2">
      <c r="A206" s="44"/>
      <c r="B206" s="22"/>
      <c r="C206" s="22"/>
      <c r="D206" s="52"/>
    </row>
    <row r="207" spans="1:4" x14ac:dyDescent="0.2">
      <c r="A207" s="44"/>
      <c r="B207" s="22"/>
      <c r="C207" s="22"/>
      <c r="D207" s="52"/>
    </row>
    <row r="208" spans="1:4" x14ac:dyDescent="0.2">
      <c r="A208" s="44"/>
      <c r="B208" s="22"/>
      <c r="C208" s="22"/>
      <c r="D208" s="52"/>
    </row>
    <row r="209" spans="1:4" x14ac:dyDescent="0.2">
      <c r="A209" s="44"/>
      <c r="B209" s="22"/>
      <c r="C209" s="22"/>
      <c r="D209" s="52"/>
    </row>
    <row r="210" spans="1:4" x14ac:dyDescent="0.2">
      <c r="A210" s="44"/>
      <c r="B210" s="22"/>
      <c r="C210" s="22"/>
      <c r="D210" s="52"/>
    </row>
    <row r="211" spans="1:4" x14ac:dyDescent="0.2">
      <c r="A211" s="44"/>
      <c r="B211" s="22"/>
      <c r="C211" s="22"/>
      <c r="D211" s="52"/>
    </row>
    <row r="212" spans="1:4" x14ac:dyDescent="0.2">
      <c r="A212" s="44"/>
      <c r="B212" s="22"/>
      <c r="C212" s="22"/>
      <c r="D212" s="52"/>
    </row>
    <row r="213" spans="1:4" x14ac:dyDescent="0.2">
      <c r="A213" s="44"/>
      <c r="B213" s="22"/>
      <c r="C213" s="22"/>
      <c r="D213" s="52"/>
    </row>
    <row r="214" spans="1:4" x14ac:dyDescent="0.2">
      <c r="A214" s="44"/>
      <c r="B214" s="22"/>
      <c r="C214" s="22"/>
      <c r="D214" s="52"/>
    </row>
    <row r="215" spans="1:4" x14ac:dyDescent="0.2">
      <c r="A215" s="44"/>
      <c r="B215" s="22"/>
      <c r="C215" s="22"/>
      <c r="D215" s="52"/>
    </row>
    <row r="216" spans="1:4" x14ac:dyDescent="0.2">
      <c r="A216" s="44"/>
      <c r="B216" s="22"/>
      <c r="C216" s="22"/>
      <c r="D216" s="52"/>
    </row>
    <row r="217" spans="1:4" x14ac:dyDescent="0.2">
      <c r="A217" s="44"/>
      <c r="B217" s="22"/>
      <c r="C217" s="22"/>
      <c r="D217" s="52"/>
    </row>
    <row r="218" spans="1:4" x14ac:dyDescent="0.2">
      <c r="A218" s="44"/>
      <c r="B218" s="22"/>
      <c r="C218" s="22"/>
      <c r="D218" s="52"/>
    </row>
    <row r="219" spans="1:4" x14ac:dyDescent="0.2">
      <c r="A219" s="44"/>
      <c r="B219" s="22"/>
      <c r="C219" s="22"/>
      <c r="D219" s="52"/>
    </row>
    <row r="220" spans="1:4" x14ac:dyDescent="0.2">
      <c r="A220" s="44"/>
      <c r="B220" s="22"/>
      <c r="C220" s="22"/>
      <c r="D220" s="52"/>
    </row>
    <row r="221" spans="1:4" x14ac:dyDescent="0.2">
      <c r="A221" s="44"/>
      <c r="B221" s="22"/>
      <c r="C221" s="22"/>
      <c r="D221" s="52"/>
    </row>
    <row r="222" spans="1:4" x14ac:dyDescent="0.2">
      <c r="A222" s="44"/>
      <c r="B222" s="22"/>
      <c r="C222" s="22"/>
      <c r="D222" s="52"/>
    </row>
    <row r="223" spans="1:4" x14ac:dyDescent="0.2">
      <c r="A223" s="44"/>
      <c r="B223" s="22"/>
      <c r="C223" s="22"/>
      <c r="D223" s="52"/>
    </row>
    <row r="224" spans="1:4" x14ac:dyDescent="0.2">
      <c r="A224" s="44"/>
      <c r="B224" s="22"/>
      <c r="C224" s="22"/>
      <c r="D224" s="52"/>
    </row>
    <row r="225" spans="1:4" x14ac:dyDescent="0.2">
      <c r="A225" s="44"/>
      <c r="B225" s="22"/>
      <c r="C225" s="22"/>
      <c r="D225" s="52"/>
    </row>
    <row r="226" spans="1:4" x14ac:dyDescent="0.2">
      <c r="A226" s="44"/>
      <c r="B226" s="22"/>
      <c r="C226" s="22"/>
      <c r="D226" s="52"/>
    </row>
    <row r="227" spans="1:4" x14ac:dyDescent="0.2">
      <c r="A227" s="44"/>
      <c r="B227" s="22"/>
      <c r="C227" s="22"/>
      <c r="D227" s="52"/>
    </row>
    <row r="228" spans="1:4" x14ac:dyDescent="0.2">
      <c r="A228" s="44"/>
      <c r="B228" s="22"/>
      <c r="C228" s="22"/>
      <c r="D228" s="52"/>
    </row>
    <row r="229" spans="1:4" x14ac:dyDescent="0.2">
      <c r="A229" s="44"/>
      <c r="B229" s="22"/>
      <c r="C229" s="22"/>
      <c r="D229" s="52"/>
    </row>
    <row r="230" spans="1:4" x14ac:dyDescent="0.2">
      <c r="A230" s="44"/>
      <c r="B230" s="22"/>
      <c r="C230" s="22"/>
      <c r="D230" s="52"/>
    </row>
    <row r="231" spans="1:4" x14ac:dyDescent="0.2">
      <c r="A231" s="44"/>
      <c r="B231" s="22"/>
      <c r="C231" s="22"/>
      <c r="D231" s="52"/>
    </row>
    <row r="232" spans="1:4" x14ac:dyDescent="0.2">
      <c r="A232" s="44"/>
      <c r="B232" s="22"/>
      <c r="C232" s="22"/>
      <c r="D232" s="52"/>
    </row>
    <row r="233" spans="1:4" x14ac:dyDescent="0.2">
      <c r="A233" s="44"/>
      <c r="B233" s="22"/>
      <c r="C233" s="22"/>
      <c r="D233" s="52"/>
    </row>
    <row r="234" spans="1:4" x14ac:dyDescent="0.2">
      <c r="A234" s="44"/>
      <c r="B234" s="22"/>
      <c r="C234" s="22"/>
      <c r="D234" s="52"/>
    </row>
    <row r="235" spans="1:4" x14ac:dyDescent="0.2">
      <c r="A235" s="44"/>
      <c r="B235" s="22"/>
      <c r="C235" s="22"/>
      <c r="D235" s="52"/>
    </row>
    <row r="236" spans="1:4" x14ac:dyDescent="0.2">
      <c r="A236" s="44"/>
      <c r="B236" s="22"/>
      <c r="C236" s="22"/>
      <c r="D236" s="52"/>
    </row>
    <row r="237" spans="1:4" x14ac:dyDescent="0.2">
      <c r="A237" s="44"/>
      <c r="B237" s="22"/>
      <c r="C237" s="22"/>
      <c r="D237" s="52"/>
    </row>
    <row r="238" spans="1:4" x14ac:dyDescent="0.2">
      <c r="A238" s="44"/>
      <c r="B238" s="22"/>
      <c r="C238" s="22"/>
      <c r="D238" s="52"/>
    </row>
    <row r="239" spans="1:4" x14ac:dyDescent="0.2">
      <c r="A239" s="44"/>
      <c r="B239" s="22"/>
      <c r="C239" s="22"/>
      <c r="D239" s="52"/>
    </row>
    <row r="240" spans="1:4" x14ac:dyDescent="0.2">
      <c r="A240" s="44"/>
      <c r="B240" s="22"/>
      <c r="C240" s="22"/>
      <c r="D240" s="52"/>
    </row>
    <row r="241" spans="1:4" x14ac:dyDescent="0.2">
      <c r="A241" s="44"/>
      <c r="B241" s="22"/>
      <c r="C241" s="22"/>
      <c r="D241" s="52"/>
    </row>
    <row r="242" spans="1:4" x14ac:dyDescent="0.2">
      <c r="A242" s="44"/>
      <c r="B242" s="22"/>
      <c r="C242" s="22"/>
      <c r="D242" s="52"/>
    </row>
    <row r="243" spans="1:4" x14ac:dyDescent="0.2">
      <c r="A243" s="44"/>
      <c r="B243" s="22"/>
      <c r="C243" s="22"/>
      <c r="D243" s="52"/>
    </row>
    <row r="244" spans="1:4" x14ac:dyDescent="0.2">
      <c r="A244" s="44"/>
      <c r="B244" s="22"/>
      <c r="C244" s="22"/>
      <c r="D244" s="52"/>
    </row>
    <row r="245" spans="1:4" x14ac:dyDescent="0.2">
      <c r="A245" s="44"/>
      <c r="B245" s="22"/>
      <c r="C245" s="22"/>
      <c r="D245" s="52"/>
    </row>
    <row r="246" spans="1:4" x14ac:dyDescent="0.2">
      <c r="A246" s="44"/>
      <c r="B246" s="22"/>
      <c r="C246" s="22"/>
      <c r="D246" s="52"/>
    </row>
    <row r="247" spans="1:4" x14ac:dyDescent="0.2">
      <c r="A247" s="44"/>
      <c r="B247" s="22"/>
      <c r="C247" s="22"/>
      <c r="D247" s="52"/>
    </row>
    <row r="248" spans="1:4" x14ac:dyDescent="0.2">
      <c r="A248" s="44"/>
      <c r="B248" s="22"/>
      <c r="C248" s="22"/>
      <c r="D248" s="52"/>
    </row>
    <row r="249" spans="1:4" x14ac:dyDescent="0.2">
      <c r="A249" s="44"/>
      <c r="B249" s="22"/>
      <c r="C249" s="22"/>
      <c r="D249" s="52"/>
    </row>
    <row r="250" spans="1:4" x14ac:dyDescent="0.2">
      <c r="A250" s="44"/>
      <c r="B250" s="22"/>
      <c r="C250" s="22"/>
      <c r="D250" s="52"/>
    </row>
    <row r="251" spans="1:4" x14ac:dyDescent="0.2">
      <c r="A251" s="44"/>
      <c r="B251" s="22"/>
      <c r="C251" s="22"/>
      <c r="D251" s="52"/>
    </row>
    <row r="252" spans="1:4" x14ac:dyDescent="0.2">
      <c r="A252" s="44"/>
      <c r="B252" s="22"/>
      <c r="C252" s="22"/>
      <c r="D252" s="52"/>
    </row>
    <row r="253" spans="1:4" x14ac:dyDescent="0.2">
      <c r="A253" s="44"/>
      <c r="B253" s="22"/>
      <c r="C253" s="22"/>
      <c r="D253" s="52"/>
    </row>
    <row r="254" spans="1:4" x14ac:dyDescent="0.2">
      <c r="A254" s="44"/>
      <c r="B254" s="22"/>
      <c r="C254" s="22"/>
      <c r="D254" s="52"/>
    </row>
    <row r="255" spans="1:4" x14ac:dyDescent="0.2">
      <c r="A255" s="44"/>
      <c r="B255" s="22"/>
      <c r="C255" s="22"/>
      <c r="D255" s="52"/>
    </row>
    <row r="256" spans="1:4" x14ac:dyDescent="0.2">
      <c r="A256" s="44"/>
      <c r="B256" s="22"/>
      <c r="C256" s="22"/>
      <c r="D256" s="52"/>
    </row>
    <row r="257" spans="1:4" x14ac:dyDescent="0.2">
      <c r="A257" s="44"/>
      <c r="B257" s="22"/>
      <c r="C257" s="22"/>
      <c r="D257" s="52"/>
    </row>
    <row r="258" spans="1:4" ht="13.5" customHeight="1" x14ac:dyDescent="0.2">
      <c r="A258" s="44"/>
      <c r="B258" s="22"/>
      <c r="C258" s="22"/>
      <c r="D258" s="52"/>
    </row>
    <row r="259" spans="1:4" x14ac:dyDescent="0.2">
      <c r="A259" s="44"/>
      <c r="B259" s="22"/>
      <c r="C259" s="22"/>
      <c r="D259" s="52"/>
    </row>
    <row r="260" spans="1:4" ht="15" x14ac:dyDescent="0.2">
      <c r="A260" s="160" t="s">
        <v>184</v>
      </c>
      <c r="B260" s="161"/>
      <c r="C260" s="161"/>
      <c r="D260" s="162"/>
    </row>
    <row r="261" spans="1:4" ht="15.75" x14ac:dyDescent="0.2">
      <c r="A261" s="7" t="s">
        <v>191</v>
      </c>
      <c r="B261" s="8" t="s">
        <v>192</v>
      </c>
      <c r="C261" s="18">
        <f>1/((2*PI()*7*Rsense*(Vout_nom^3)*(Cout*10^-6))/((1/(fsw))*(M1M2_calc/us)*(Vin_nom^2)))</f>
        <v>1.3395968345976439</v>
      </c>
      <c r="D261" s="9" t="s">
        <v>5</v>
      </c>
    </row>
    <row r="262" spans="1:4" ht="15.75" x14ac:dyDescent="0.2">
      <c r="A262" s="53" t="s">
        <v>213</v>
      </c>
      <c r="B262" s="26" t="s">
        <v>212</v>
      </c>
      <c r="C262" s="5">
        <v>10</v>
      </c>
      <c r="D262" s="57" t="s">
        <v>5</v>
      </c>
    </row>
    <row r="263" spans="1:4" ht="15.75" x14ac:dyDescent="0.2">
      <c r="A263" s="7" t="s">
        <v>214</v>
      </c>
      <c r="B263" s="8" t="s">
        <v>215</v>
      </c>
      <c r="C263" s="54">
        <f>20*LOG(IMABS(IMPRODUCT((_Rfb2*kOhm)/((_Rfb1*MegOhm)+(_Rfb2*kOhm)),IMDIV((M_3*Vout_nom)/(M1M2_calc),COMPLEX(1,(2*PI()*fv)/(2*PI()*fPWM_PSpole))))))</f>
        <v>3.4209310202700034</v>
      </c>
      <c r="D263" s="9" t="s">
        <v>209</v>
      </c>
    </row>
    <row r="264" spans="1:4" ht="14.25" x14ac:dyDescent="0.2">
      <c r="A264" s="31" t="s">
        <v>238</v>
      </c>
      <c r="B264" s="32" t="s">
        <v>243</v>
      </c>
      <c r="C264" s="58">
        <f>((((g_mv)*fv)/fPWM_PSpole)/((10^(GVL_dB/20))*2*PI()*fv))/uF</f>
        <v>3.3654935175297789</v>
      </c>
      <c r="D264" s="36" t="s">
        <v>244</v>
      </c>
    </row>
    <row r="265" spans="1:4" ht="15.75" x14ac:dyDescent="0.2">
      <c r="A265" s="7" t="s">
        <v>242</v>
      </c>
      <c r="B265" s="8" t="s">
        <v>247</v>
      </c>
      <c r="C265" s="1">
        <v>4.2</v>
      </c>
      <c r="D265" s="13" t="s">
        <v>32</v>
      </c>
    </row>
    <row r="266" spans="1:4" ht="14.25" x14ac:dyDescent="0.2">
      <c r="A266" s="31" t="s">
        <v>248</v>
      </c>
      <c r="B266" s="32" t="s">
        <v>249</v>
      </c>
      <c r="C266" s="58">
        <f>(1/(2*PI()*fPWM_PSpole*Cvcomp*uF))/(kOhm)</f>
        <v>28.287640796703286</v>
      </c>
      <c r="D266" s="43" t="s">
        <v>245</v>
      </c>
    </row>
    <row r="267" spans="1:4" ht="15.75" x14ac:dyDescent="0.2">
      <c r="A267" s="7" t="s">
        <v>250</v>
      </c>
      <c r="B267" s="8" t="s">
        <v>251</v>
      </c>
      <c r="C267" s="1">
        <v>25</v>
      </c>
      <c r="D267" s="59" t="s">
        <v>145</v>
      </c>
    </row>
    <row r="268" spans="1:4" ht="15.75" x14ac:dyDescent="0.2">
      <c r="A268" s="7" t="s">
        <v>252</v>
      </c>
      <c r="B268" s="8" t="s">
        <v>253</v>
      </c>
      <c r="C268" s="54">
        <f>1/(2*PI()*(Rvcomp*kOhm)*(Cvcomp*uF))</f>
        <v>1.5157613627799558</v>
      </c>
      <c r="D268" s="9" t="s">
        <v>5</v>
      </c>
    </row>
    <row r="269" spans="1:4" ht="15.75" x14ac:dyDescent="0.2">
      <c r="A269" s="7" t="s">
        <v>255</v>
      </c>
      <c r="B269" s="8" t="s">
        <v>256</v>
      </c>
      <c r="C269" s="1">
        <v>20</v>
      </c>
      <c r="D269" s="9" t="s">
        <v>5</v>
      </c>
    </row>
    <row r="270" spans="1:4" ht="14.25" x14ac:dyDescent="0.2">
      <c r="A270" s="31" t="s">
        <v>254</v>
      </c>
      <c r="B270" s="32" t="s">
        <v>257</v>
      </c>
      <c r="C270" s="58">
        <f>((Cvcomp*uF)/((2*PI()*fpole*(Rvcomp*kOhm)*(Cvcomp*uF))-1))/uF</f>
        <v>0.3444122232255093</v>
      </c>
      <c r="D270" s="36" t="s">
        <v>244</v>
      </c>
    </row>
    <row r="271" spans="1:4" ht="15.75" x14ac:dyDescent="0.2">
      <c r="A271" s="53" t="s">
        <v>260</v>
      </c>
      <c r="B271" s="26" t="s">
        <v>261</v>
      </c>
      <c r="C271" s="1">
        <v>0.33</v>
      </c>
      <c r="D271" s="13" t="s">
        <v>32</v>
      </c>
    </row>
    <row r="272" spans="1:4" x14ac:dyDescent="0.2">
      <c r="A272" s="44"/>
      <c r="B272" s="22"/>
      <c r="C272" s="22"/>
      <c r="D272" s="52"/>
    </row>
    <row r="273" spans="1:4" x14ac:dyDescent="0.2">
      <c r="A273" s="44"/>
      <c r="B273" s="22"/>
      <c r="C273" s="22"/>
      <c r="D273" s="52"/>
    </row>
    <row r="274" spans="1:4" x14ac:dyDescent="0.2">
      <c r="A274" s="44"/>
      <c r="B274" s="22"/>
      <c r="C274" s="22"/>
      <c r="D274" s="52"/>
    </row>
    <row r="275" spans="1:4" x14ac:dyDescent="0.2">
      <c r="A275" s="44"/>
      <c r="B275" s="22"/>
      <c r="C275" s="22"/>
      <c r="D275" s="52"/>
    </row>
    <row r="276" spans="1:4" x14ac:dyDescent="0.2">
      <c r="A276" s="44"/>
      <c r="B276" s="22"/>
      <c r="C276" s="22"/>
      <c r="D276" s="52"/>
    </row>
    <row r="277" spans="1:4" x14ac:dyDescent="0.2">
      <c r="A277" s="44"/>
      <c r="B277" s="22"/>
      <c r="C277" s="22"/>
      <c r="D277" s="52"/>
    </row>
    <row r="278" spans="1:4" x14ac:dyDescent="0.2">
      <c r="A278" s="44"/>
      <c r="B278" s="22"/>
      <c r="C278" s="22"/>
      <c r="D278" s="52"/>
    </row>
    <row r="279" spans="1:4" x14ac:dyDescent="0.2">
      <c r="A279" s="44"/>
      <c r="B279" s="22"/>
      <c r="C279" s="22"/>
      <c r="D279" s="52"/>
    </row>
    <row r="280" spans="1:4" x14ac:dyDescent="0.2">
      <c r="A280" s="44"/>
      <c r="B280" s="22"/>
      <c r="C280" s="22"/>
      <c r="D280" s="52"/>
    </row>
    <row r="281" spans="1:4" x14ac:dyDescent="0.2">
      <c r="A281" s="44"/>
      <c r="B281" s="22"/>
      <c r="C281" s="22"/>
      <c r="D281" s="52"/>
    </row>
    <row r="282" spans="1:4" x14ac:dyDescent="0.2">
      <c r="A282" s="44"/>
      <c r="B282" s="22"/>
      <c r="C282" s="22"/>
      <c r="D282" s="52"/>
    </row>
    <row r="283" spans="1:4" x14ac:dyDescent="0.2">
      <c r="A283" s="44"/>
      <c r="B283" s="22"/>
      <c r="C283" s="22"/>
      <c r="D283" s="52"/>
    </row>
    <row r="284" spans="1:4" x14ac:dyDescent="0.2">
      <c r="A284" s="44"/>
      <c r="B284" s="22"/>
      <c r="C284" s="22"/>
      <c r="D284" s="52"/>
    </row>
    <row r="285" spans="1:4" x14ac:dyDescent="0.2">
      <c r="A285" s="44"/>
      <c r="B285" s="22"/>
      <c r="C285" s="22"/>
      <c r="D285" s="52"/>
    </row>
    <row r="286" spans="1:4" x14ac:dyDescent="0.2">
      <c r="A286" s="44"/>
      <c r="B286" s="22"/>
      <c r="C286" s="22"/>
      <c r="D286" s="52"/>
    </row>
    <row r="287" spans="1:4" x14ac:dyDescent="0.2">
      <c r="A287" s="44"/>
      <c r="B287" s="22"/>
      <c r="C287" s="22"/>
      <c r="D287" s="52"/>
    </row>
    <row r="288" spans="1:4" x14ac:dyDescent="0.2">
      <c r="A288" s="44"/>
      <c r="B288" s="22"/>
      <c r="C288" s="22"/>
      <c r="D288" s="52"/>
    </row>
    <row r="289" spans="1:4" x14ac:dyDescent="0.2">
      <c r="A289" s="44"/>
      <c r="B289" s="22"/>
      <c r="C289" s="72"/>
      <c r="D289" s="52"/>
    </row>
    <row r="290" spans="1:4" x14ac:dyDescent="0.2">
      <c r="A290" s="44"/>
      <c r="B290" s="22"/>
      <c r="C290" s="22"/>
      <c r="D290" s="52"/>
    </row>
    <row r="291" spans="1:4" x14ac:dyDescent="0.2">
      <c r="A291" s="44"/>
      <c r="B291" s="22"/>
      <c r="C291" s="22"/>
      <c r="D291" s="52"/>
    </row>
    <row r="292" spans="1:4" x14ac:dyDescent="0.2">
      <c r="A292" s="44"/>
      <c r="B292" s="22"/>
      <c r="C292" s="22"/>
      <c r="D292" s="52"/>
    </row>
    <row r="293" spans="1:4" x14ac:dyDescent="0.2">
      <c r="A293" s="44"/>
      <c r="B293" s="22"/>
      <c r="C293" s="22"/>
      <c r="D293" s="52"/>
    </row>
    <row r="294" spans="1:4" x14ac:dyDescent="0.2">
      <c r="A294" s="44"/>
      <c r="B294" s="22"/>
      <c r="C294" s="22"/>
      <c r="D294" s="52"/>
    </row>
    <row r="295" spans="1:4" x14ac:dyDescent="0.2">
      <c r="A295" s="44"/>
      <c r="B295" s="22"/>
      <c r="C295" s="22"/>
      <c r="D295" s="52"/>
    </row>
    <row r="296" spans="1:4" x14ac:dyDescent="0.2">
      <c r="A296" s="44"/>
      <c r="B296" s="22"/>
      <c r="C296" s="22"/>
      <c r="D296" s="52"/>
    </row>
    <row r="297" spans="1:4" x14ac:dyDescent="0.2">
      <c r="A297" s="44"/>
      <c r="B297" s="22"/>
      <c r="C297" s="22"/>
      <c r="D297" s="52"/>
    </row>
    <row r="298" spans="1:4" x14ac:dyDescent="0.2">
      <c r="A298" s="44"/>
      <c r="B298" s="22"/>
      <c r="C298" s="22"/>
      <c r="D298" s="52"/>
    </row>
    <row r="299" spans="1:4" x14ac:dyDescent="0.2">
      <c r="A299" s="44"/>
      <c r="B299" s="22"/>
      <c r="C299" s="22"/>
      <c r="D299" s="52"/>
    </row>
    <row r="300" spans="1:4" x14ac:dyDescent="0.2">
      <c r="A300" s="44"/>
      <c r="B300" s="22"/>
      <c r="C300" s="22"/>
      <c r="D300" s="52"/>
    </row>
    <row r="301" spans="1:4" x14ac:dyDescent="0.2">
      <c r="A301" s="44"/>
      <c r="B301" s="22"/>
      <c r="C301" s="22"/>
      <c r="D301" s="52"/>
    </row>
    <row r="302" spans="1:4" ht="13.5" thickBot="1" x14ac:dyDescent="0.25">
      <c r="A302" s="73"/>
      <c r="B302" s="74"/>
      <c r="C302" s="74"/>
      <c r="D302" s="75"/>
    </row>
    <row r="303" spans="1:4" ht="13.5" thickBot="1" x14ac:dyDescent="0.25">
      <c r="A303" s="73"/>
      <c r="B303" s="74"/>
      <c r="C303" s="74"/>
      <c r="D303" s="75"/>
    </row>
    <row r="305" spans="1:4" ht="13.5" thickBot="1" x14ac:dyDescent="0.25"/>
    <row r="306" spans="1:4" ht="15.75" x14ac:dyDescent="0.2">
      <c r="A306" s="155" t="s">
        <v>466</v>
      </c>
      <c r="B306" s="156"/>
      <c r="C306" s="156"/>
      <c r="D306" s="157"/>
    </row>
    <row r="307" spans="1:4" ht="15.75" x14ac:dyDescent="0.2">
      <c r="A307" s="105" t="s">
        <v>152</v>
      </c>
      <c r="B307" s="8" t="s">
        <v>153</v>
      </c>
      <c r="C307" s="1">
        <v>80</v>
      </c>
      <c r="D307" s="9" t="s">
        <v>154</v>
      </c>
    </row>
    <row r="308" spans="1:4" ht="14.25" x14ac:dyDescent="0.2">
      <c r="A308" s="31" t="s">
        <v>158</v>
      </c>
      <c r="B308" s="32" t="s">
        <v>267</v>
      </c>
      <c r="C308" s="33">
        <f>((SQRT(2)*Vac_on)-Vins_ennom)/(Ivins*uA)/MegOhm</f>
        <v>7.4424723326565081</v>
      </c>
      <c r="D308" s="34" t="s">
        <v>246</v>
      </c>
    </row>
    <row r="309" spans="1:4" ht="15.75" x14ac:dyDescent="0.2">
      <c r="A309" s="7" t="s">
        <v>270</v>
      </c>
      <c r="B309" s="8" t="s">
        <v>271</v>
      </c>
      <c r="C309" s="2">
        <v>7.5</v>
      </c>
      <c r="D309" s="57" t="s">
        <v>140</v>
      </c>
    </row>
    <row r="310" spans="1:4" ht="14.25" x14ac:dyDescent="0.2">
      <c r="A310" s="31" t="s">
        <v>273</v>
      </c>
      <c r="B310" s="32" t="s">
        <v>272</v>
      </c>
      <c r="C310" s="33">
        <f>((Vins_ennom*(Rvins1*MegOhm))/((SQRT(2)*(Vac_on))-Vins_ennom-Vf_bridge))/kOhm</f>
        <v>101.63787402145307</v>
      </c>
      <c r="D310" s="34" t="s">
        <v>245</v>
      </c>
    </row>
    <row r="311" spans="1:4" ht="15.75" x14ac:dyDescent="0.2">
      <c r="A311" s="7" t="s">
        <v>274</v>
      </c>
      <c r="B311" s="8" t="s">
        <v>275</v>
      </c>
      <c r="C311" s="2">
        <v>100</v>
      </c>
      <c r="D311" s="57" t="s">
        <v>145</v>
      </c>
    </row>
    <row r="312" spans="1:4" ht="15.75" x14ac:dyDescent="0.2">
      <c r="A312" s="105" t="s">
        <v>461</v>
      </c>
      <c r="B312" s="106" t="s">
        <v>463</v>
      </c>
      <c r="C312" s="107">
        <f>(SQRT(2)*(Vins_ennom+(Rvins1*MegOhm*Vins_ennom/(Rvins2*kOhm))))/2</f>
        <v>80.610173055266429</v>
      </c>
      <c r="D312" s="9" t="s">
        <v>154</v>
      </c>
    </row>
    <row r="313" spans="1:4" ht="15.75" x14ac:dyDescent="0.2">
      <c r="A313" s="105" t="s">
        <v>460</v>
      </c>
      <c r="B313" s="106" t="s">
        <v>464</v>
      </c>
      <c r="C313" s="107">
        <f>(SQRT(2)*(Vins_enmax+(Rvins1*MegOhm*Vins_enmax/(Rvins2*kOhm))))/2</f>
        <v>85.98418459228418</v>
      </c>
      <c r="D313" s="9" t="s">
        <v>154</v>
      </c>
    </row>
    <row r="314" spans="1:4" ht="15.75" x14ac:dyDescent="0.2">
      <c r="A314" s="105" t="s">
        <v>462</v>
      </c>
      <c r="B314" s="106" t="s">
        <v>465</v>
      </c>
      <c r="C314" s="107">
        <f>(SQRT(2)*(Vins_enmin+(Rvins1*MegOhm*Vins_enmin/(Rvins2*kOhm))))/2</f>
        <v>75.236161518248664</v>
      </c>
      <c r="D314" s="9" t="s">
        <v>154</v>
      </c>
    </row>
    <row r="315" spans="1:4" ht="15.75" x14ac:dyDescent="0.2">
      <c r="A315" s="7" t="s">
        <v>155</v>
      </c>
      <c r="B315" s="8" t="s">
        <v>156</v>
      </c>
      <c r="C315" s="41">
        <f>((Vin_rect_max^2)/((Rvins1*MegOhm)+(Rvins2*kOhm)))/mW</f>
        <v>18.480263157894736</v>
      </c>
      <c r="D315" s="9" t="s">
        <v>157</v>
      </c>
    </row>
    <row r="316" spans="1:4" ht="13.5" thickBot="1" x14ac:dyDescent="0.25"/>
    <row r="317" spans="1:4" ht="15.75" x14ac:dyDescent="0.2">
      <c r="A317" s="155" t="s">
        <v>151</v>
      </c>
      <c r="B317" s="156"/>
      <c r="C317" s="156"/>
      <c r="D317" s="157"/>
    </row>
    <row r="318" spans="1:4" ht="15.75" x14ac:dyDescent="0.2">
      <c r="A318" s="105" t="s">
        <v>471</v>
      </c>
      <c r="B318" s="106" t="s">
        <v>472</v>
      </c>
      <c r="C318" s="1">
        <v>60</v>
      </c>
      <c r="D318" s="9" t="s">
        <v>154</v>
      </c>
    </row>
    <row r="319" spans="1:4" x14ac:dyDescent="0.2">
      <c r="A319" s="44"/>
      <c r="B319" s="22"/>
      <c r="C319" s="22"/>
      <c r="D319" s="52"/>
    </row>
    <row r="320" spans="1:4" ht="15.75" x14ac:dyDescent="0.2">
      <c r="A320" s="132" t="s">
        <v>469</v>
      </c>
      <c r="B320" s="130" t="s">
        <v>467</v>
      </c>
      <c r="C320" s="142" t="s">
        <v>468</v>
      </c>
      <c r="D320" s="133"/>
    </row>
    <row r="321" spans="1:4" ht="15.75" x14ac:dyDescent="0.2">
      <c r="A321" s="152"/>
      <c r="B321" s="153"/>
      <c r="C321" s="153"/>
      <c r="D321" s="154"/>
    </row>
    <row r="322" spans="1:4" ht="15.75" x14ac:dyDescent="0.2">
      <c r="A322" s="149" t="str">
        <f>IF(C320="YES","ENTER NUMBER OF HALF-LINE CYCLES REQUIRED FOR INPUT LINE HOLD-UP","CVINS CALCULATED BASED UPON NO HOLD-UP REQUIREMENTS")</f>
        <v>CVINS CALCULATED BASED UPON NO HOLD-UP REQUIREMENTS</v>
      </c>
      <c r="B322" s="150"/>
      <c r="C322" s="150"/>
      <c r="D322" s="151"/>
    </row>
    <row r="323" spans="1:4" ht="15.75" x14ac:dyDescent="0.2">
      <c r="A323" s="105" t="s">
        <v>474</v>
      </c>
      <c r="B323" s="106" t="s">
        <v>473</v>
      </c>
      <c r="C323" s="140">
        <v>2</v>
      </c>
      <c r="D323" s="133"/>
    </row>
    <row r="324" spans="1:4" ht="15.75" x14ac:dyDescent="0.2">
      <c r="A324" s="105" t="s">
        <v>484</v>
      </c>
      <c r="B324" s="106" t="s">
        <v>470</v>
      </c>
      <c r="C324" s="131">
        <f>IF(HU_rqment="YES",(Ninput_hup/(2*fline_min))/ms,(1/(2*fline_min))/ms)</f>
        <v>10.638297872340425</v>
      </c>
      <c r="D324" s="59" t="s">
        <v>125</v>
      </c>
    </row>
    <row r="325" spans="1:4" ht="14.25" x14ac:dyDescent="0.2">
      <c r="A325" s="31" t="s">
        <v>485</v>
      </c>
      <c r="B325" s="32" t="s">
        <v>280</v>
      </c>
      <c r="C325" s="33">
        <f>(-(tinput_hu*ms)/(Rvins2*kOhm*LN((SQRT(2)*Vins_brnnom*(Rvins1*MegOhm+Rvins2*kOhm))/(2*Rvins2*kOhm*Vacoff_desired))))/uF</f>
        <v>0.34468780236749091</v>
      </c>
      <c r="D325" s="36" t="s">
        <v>244</v>
      </c>
    </row>
    <row r="326" spans="1:4" ht="15.75" x14ac:dyDescent="0.2">
      <c r="A326" s="134" t="s">
        <v>490</v>
      </c>
      <c r="B326" s="106" t="s">
        <v>489</v>
      </c>
      <c r="C326" s="141">
        <v>0.33</v>
      </c>
      <c r="D326" s="13" t="s">
        <v>32</v>
      </c>
    </row>
    <row r="327" spans="1:4" ht="15.75" x14ac:dyDescent="0.2">
      <c r="A327" s="105" t="s">
        <v>475</v>
      </c>
      <c r="B327" s="106" t="s">
        <v>481</v>
      </c>
      <c r="C327" s="107" t="str">
        <f>IF(HU_rqment="NO","No Dropout Req'd",(SQRT(2)*Vins_brnnom*EXP((tinput_hu*ms)/(Cvins_hu*uF*Rvins2*kOhm))*(Rvins1*MegOhm+Rvins2*kOhm))/(2*Rvins2*kOhm))</f>
        <v>No Dropout Req'd</v>
      </c>
      <c r="D327" s="9" t="s">
        <v>154</v>
      </c>
    </row>
    <row r="328" spans="1:4" ht="15.75" x14ac:dyDescent="0.2">
      <c r="A328" s="105" t="s">
        <v>477</v>
      </c>
      <c r="B328" s="106" t="s">
        <v>482</v>
      </c>
      <c r="C328" s="107" t="str">
        <f>IF(HU_rqment="NO","No Dropout Req'd",(SQRT(2)*Vins_brnmax*EXP((tinput_hu*ms)/(Cvins_hu*uF*Rvins2*kOhm))*(Rvins1*MegOhm+Rvins2*kOhm))/(2*Rvins2*kOhm))</f>
        <v>No Dropout Req'd</v>
      </c>
      <c r="D328" s="9" t="s">
        <v>154</v>
      </c>
    </row>
    <row r="329" spans="1:4" ht="15.75" x14ac:dyDescent="0.2">
      <c r="A329" s="105" t="s">
        <v>478</v>
      </c>
      <c r="B329" s="106" t="s">
        <v>483</v>
      </c>
      <c r="C329" s="107" t="str">
        <f>IF(HU_rqment="NO","No Dropout Req'd",(SQRT(2)*Vins_brnmin*EXP((tinput_hu*ms)/(Cvins_hu*uF*Rvins2*kOhm))*(Rvins1*MegOhm+Rvins2*kOhm))/(2*Rvins2*kOhm))</f>
        <v>No Dropout Req'd</v>
      </c>
      <c r="D329" s="9" t="s">
        <v>154</v>
      </c>
    </row>
    <row r="330" spans="1:4" ht="15.75" x14ac:dyDescent="0.2">
      <c r="A330" s="105" t="s">
        <v>486</v>
      </c>
      <c r="B330" s="106" t="s">
        <v>476</v>
      </c>
      <c r="C330" s="107">
        <f>(SQRT(2)*Vins_brnnom*EXP((1/(2*fline_min))/(Cvins_hu*uF*Rvins2*kOhm))*(Rvins1*MegOhm+Rvins2*kOhm))/(2*Rvins2*kOhm)</f>
        <v>60.829901805136238</v>
      </c>
      <c r="D330" s="9" t="s">
        <v>154</v>
      </c>
    </row>
    <row r="331" spans="1:4" ht="15.75" x14ac:dyDescent="0.2">
      <c r="A331" s="105" t="s">
        <v>487</v>
      </c>
      <c r="B331" s="106" t="s">
        <v>479</v>
      </c>
      <c r="C331" s="107">
        <f>(SQRT(2)*Vins_brnmax*EXP((1/(2*fline_min))/(Cvins_hu*uF*Rvins2*kOhm))*(Rvins1*MegOhm+Rvins2*kOhm))/(2*Rvins2*kOhm)</f>
        <v>65.280870229902305</v>
      </c>
      <c r="D331" s="9" t="s">
        <v>154</v>
      </c>
    </row>
    <row r="332" spans="1:4" ht="16.5" thickBot="1" x14ac:dyDescent="0.25">
      <c r="A332" s="135" t="s">
        <v>488</v>
      </c>
      <c r="B332" s="136" t="s">
        <v>480</v>
      </c>
      <c r="C332" s="137">
        <f>(SQRT(2)*Vins_brnmin*EXP((1/(2*fline_min))/(Cvins_hu*uF*Rvins2*kOhm))*(Rvins1*MegOhm+Rvins2*kOhm))/(2*Rvins2*kOhm)</f>
        <v>56.378933380370178</v>
      </c>
      <c r="D332" s="17" t="s">
        <v>154</v>
      </c>
    </row>
    <row r="333" spans="1:4" x14ac:dyDescent="0.2">
      <c r="A333"/>
      <c r="B333"/>
      <c r="C333"/>
      <c r="D333"/>
    </row>
    <row r="334" spans="1:4" x14ac:dyDescent="0.2">
      <c r="A334"/>
      <c r="B334"/>
      <c r="C334"/>
      <c r="D334"/>
    </row>
  </sheetData>
  <sheetProtection password="E59D" sheet="1" objects="1" scenarios="1"/>
  <mergeCells count="37">
    <mergeCell ref="A4:D6"/>
    <mergeCell ref="A1:D1"/>
    <mergeCell ref="A115:D115"/>
    <mergeCell ref="A92:D93"/>
    <mergeCell ref="A53:D54"/>
    <mergeCell ref="A10:D10"/>
    <mergeCell ref="A9:D9"/>
    <mergeCell ref="A11:D11"/>
    <mergeCell ref="A55:D55"/>
    <mergeCell ref="A64:D64"/>
    <mergeCell ref="A2:D2"/>
    <mergeCell ref="C7:D7"/>
    <mergeCell ref="A8:D8"/>
    <mergeCell ref="A106:D107"/>
    <mergeCell ref="A3:D3"/>
    <mergeCell ref="A12:D12"/>
    <mergeCell ref="A21:D21"/>
    <mergeCell ref="A47:D47"/>
    <mergeCell ref="A37:D37"/>
    <mergeCell ref="A19:D20"/>
    <mergeCell ref="A35:D36"/>
    <mergeCell ref="A45:D46"/>
    <mergeCell ref="A322:D322"/>
    <mergeCell ref="A321:D321"/>
    <mergeCell ref="A121:D121"/>
    <mergeCell ref="A62:D63"/>
    <mergeCell ref="A74:D75"/>
    <mergeCell ref="A76:D76"/>
    <mergeCell ref="A306:D306"/>
    <mergeCell ref="A317:D317"/>
    <mergeCell ref="A260:D260"/>
    <mergeCell ref="A119:D120"/>
    <mergeCell ref="A141:D142"/>
    <mergeCell ref="A108:D108"/>
    <mergeCell ref="A143:D143"/>
    <mergeCell ref="A94:D94"/>
    <mergeCell ref="A144:D144"/>
  </mergeCells>
  <phoneticPr fontId="6" type="noConversion"/>
  <dataValidations xWindow="1511" yWindow="643" count="3">
    <dataValidation type="list" allowBlank="1" showInputMessage="1" showErrorMessage="1" sqref="C320" xr:uid="{00000000-0002-0000-0100-000000000000}">
      <formula1>"YES,NO"</formula1>
    </dataValidation>
    <dataValidation type="decimal" operator="greaterThanOrEqual" allowBlank="1" showInputMessage="1" showErrorMessage="1" errorTitle="Half-line Dropout" error="Number of half-line cycles for input line hold-up must be greater than 2 x Nholdup used for output capacitor calculation." promptTitle="Half-Line Dropout Cycles" prompt="Enter number of half-line dropout cycles required for inut hold-up.  If no hold-up required, leave blank." sqref="C323" xr:uid="{00000000-0002-0000-0100-000001000000}">
      <formula1>2*C110</formula1>
    </dataValidation>
    <dataValidation type="decimal" operator="greaterThanOrEqual" allowBlank="1" showInputMessage="1" showErrorMessage="1" errorTitle="Minimum turnoff voltage" error="Must be greater than or equal to 60% of Vac(on)" promptTitle="Minimum Turn-Off Voltage" prompt="Turn-Off Voltage Must Be Greater Than or Equal to 60% of the Turn-On Voltage (Vac(on))" sqref="C318" xr:uid="{00000000-0002-0000-0100-000002000000}">
      <formula1>0.6*C307</formula1>
    </dataValidation>
  </dataValidations>
  <pageMargins left="0.75" right="0.75" top="1" bottom="1" header="0.5" footer="0.5"/>
  <pageSetup orientation="portrait" r:id="rId1"/>
  <headerFooter alignWithMargins="0">
    <oddHeader>&amp;L&amp;F
&amp;D</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7"/>
  <sheetViews>
    <sheetView topLeftCell="B28" zoomScale="75" workbookViewId="0">
      <selection activeCell="D54" sqref="D54"/>
    </sheetView>
  </sheetViews>
  <sheetFormatPr baseColWidth="10" defaultColWidth="9.140625" defaultRowHeight="12.75" x14ac:dyDescent="0.2"/>
  <cols>
    <col min="1" max="1" width="9.140625" style="78"/>
    <col min="2" max="2" width="39" style="78" customWidth="1"/>
    <col min="3" max="3" width="44.7109375" style="78" customWidth="1"/>
    <col min="4" max="4" width="17.5703125" style="78" customWidth="1"/>
    <col min="5" max="5" width="66.7109375" style="78" customWidth="1"/>
    <col min="6" max="16384" width="9.140625" style="78"/>
  </cols>
  <sheetData>
    <row r="1" spans="1:16" ht="20.25" x14ac:dyDescent="0.2">
      <c r="A1" s="195" t="s">
        <v>368</v>
      </c>
      <c r="B1" s="195"/>
      <c r="C1" s="195"/>
      <c r="D1" s="195"/>
      <c r="E1" s="195"/>
      <c r="F1" s="195"/>
      <c r="G1" s="80"/>
      <c r="H1" s="80"/>
      <c r="I1" s="80"/>
      <c r="J1" s="80"/>
      <c r="K1" s="80"/>
      <c r="L1" s="80"/>
      <c r="M1" s="80"/>
      <c r="N1" s="80"/>
      <c r="O1" s="80"/>
      <c r="P1" s="80"/>
    </row>
    <row r="2" spans="1:16" ht="12.75" customHeight="1" x14ac:dyDescent="0.2">
      <c r="A2" s="195"/>
      <c r="B2" s="195"/>
      <c r="C2" s="195"/>
      <c r="D2" s="195"/>
      <c r="E2" s="195"/>
      <c r="F2" s="195"/>
      <c r="G2" s="80"/>
    </row>
    <row r="35" spans="2:5" ht="13.5" thickBot="1" x14ac:dyDescent="0.25"/>
    <row r="36" spans="2:5" ht="18" x14ac:dyDescent="0.2">
      <c r="B36" s="203" t="s">
        <v>301</v>
      </c>
      <c r="C36" s="204"/>
      <c r="D36" s="204"/>
      <c r="E36" s="205"/>
    </row>
    <row r="37" spans="2:5" ht="21" thickBot="1" x14ac:dyDescent="0.25">
      <c r="B37" s="81" t="s">
        <v>302</v>
      </c>
      <c r="C37" s="201" t="s">
        <v>303</v>
      </c>
      <c r="D37" s="201"/>
      <c r="E37" s="202"/>
    </row>
    <row r="38" spans="2:5" ht="20.25" x14ac:dyDescent="0.2">
      <c r="B38" s="196" t="s">
        <v>304</v>
      </c>
      <c r="C38" s="82" t="s">
        <v>330</v>
      </c>
      <c r="D38" s="193" t="s">
        <v>331</v>
      </c>
      <c r="E38" s="194"/>
    </row>
    <row r="39" spans="2:5" ht="20.25" x14ac:dyDescent="0.2">
      <c r="B39" s="198"/>
      <c r="C39" s="83" t="s">
        <v>314</v>
      </c>
      <c r="D39" s="83">
        <f>IF(Vin_max&lt;270,250,350)</f>
        <v>250</v>
      </c>
      <c r="E39" s="84" t="str">
        <f>CALCULATIONS!D23</f>
        <v>VRMS</v>
      </c>
    </row>
    <row r="40" spans="2:5" ht="21" thickBot="1" x14ac:dyDescent="0.25">
      <c r="B40" s="197"/>
      <c r="C40" s="85" t="s">
        <v>347</v>
      </c>
      <c r="D40" s="86">
        <f>Ifuse</f>
        <v>22.755717373990219</v>
      </c>
      <c r="E40" s="87" t="str">
        <f>CALCULATIONS!D34</f>
        <v>A</v>
      </c>
    </row>
    <row r="41" spans="2:5" ht="20.25" x14ac:dyDescent="0.2">
      <c r="B41" s="196" t="s">
        <v>305</v>
      </c>
      <c r="C41" s="82" t="s">
        <v>309</v>
      </c>
      <c r="D41" s="88">
        <f>CALCULATIONS!C42</f>
        <v>412.24325343175724</v>
      </c>
      <c r="E41" s="89" t="str">
        <f>CALCULATIONS!D42</f>
        <v>V</v>
      </c>
    </row>
    <row r="42" spans="2:5" ht="20.25" x14ac:dyDescent="0.2">
      <c r="B42" s="198"/>
      <c r="C42" s="83" t="s">
        <v>347</v>
      </c>
      <c r="D42" s="90">
        <f>Ibridge</f>
        <v>20.48734363766313</v>
      </c>
      <c r="E42" s="84" t="str">
        <f>CALCULATIONS!D41</f>
        <v>A</v>
      </c>
    </row>
    <row r="43" spans="2:5" ht="21" thickBot="1" x14ac:dyDescent="0.25">
      <c r="B43" s="197"/>
      <c r="C43" s="85" t="s">
        <v>313</v>
      </c>
      <c r="D43" s="86">
        <f>Pbridge</f>
        <v>25.950635274373301</v>
      </c>
      <c r="E43" s="87" t="str">
        <f>CALCULATIONS!D43</f>
        <v>W</v>
      </c>
    </row>
    <row r="44" spans="2:5" ht="20.25" x14ac:dyDescent="0.2">
      <c r="B44" s="196" t="s">
        <v>306</v>
      </c>
      <c r="C44" s="82" t="s">
        <v>330</v>
      </c>
      <c r="D44" s="193" t="s">
        <v>321</v>
      </c>
      <c r="E44" s="194"/>
    </row>
    <row r="45" spans="2:5" ht="21.75" x14ac:dyDescent="0.2">
      <c r="B45" s="198"/>
      <c r="C45" s="83" t="s">
        <v>307</v>
      </c>
      <c r="D45" s="90">
        <f>Cin</f>
        <v>2.2881565986918271</v>
      </c>
      <c r="E45" s="91" t="s">
        <v>358</v>
      </c>
    </row>
    <row r="46" spans="2:5" ht="24" thickBot="1" x14ac:dyDescent="0.25">
      <c r="B46" s="198"/>
      <c r="C46" s="83" t="s">
        <v>312</v>
      </c>
      <c r="D46" s="92">
        <f>Vin_max</f>
        <v>265</v>
      </c>
      <c r="E46" s="93" t="s">
        <v>359</v>
      </c>
    </row>
    <row r="47" spans="2:5" ht="20.25" x14ac:dyDescent="0.2">
      <c r="B47" s="196" t="s">
        <v>308</v>
      </c>
      <c r="C47" s="82" t="s">
        <v>310</v>
      </c>
      <c r="D47" s="94">
        <f>IF(Lbst="",CALCULATIONS!C58,Lbst)</f>
        <v>0.6</v>
      </c>
      <c r="E47" s="89" t="str">
        <f>CALCULATIONS!D59</f>
        <v>mH</v>
      </c>
    </row>
    <row r="48" spans="2:5" ht="20.25" x14ac:dyDescent="0.2">
      <c r="B48" s="198"/>
      <c r="C48" s="83" t="s">
        <v>317</v>
      </c>
      <c r="D48" s="90">
        <f>IF(Il_peak_actual="",I_Lpeak,Il_peak_actual)</f>
        <v>22.656219164807105</v>
      </c>
      <c r="E48" s="84" t="str">
        <f>CALCULATIONS!D61</f>
        <v>A</v>
      </c>
    </row>
    <row r="49" spans="2:5" ht="20.25" x14ac:dyDescent="0.2">
      <c r="B49" s="198"/>
      <c r="C49" s="83" t="s">
        <v>318</v>
      </c>
      <c r="D49" s="90">
        <f>Iripple_actual</f>
        <v>2.4038461538461537</v>
      </c>
      <c r="E49" s="84" t="str">
        <f>CALCULATIONS!D60</f>
        <v>A</v>
      </c>
    </row>
    <row r="50" spans="2:5" ht="21" thickBot="1" x14ac:dyDescent="0.25">
      <c r="B50" s="197"/>
      <c r="C50" s="85" t="s">
        <v>34</v>
      </c>
      <c r="D50" s="95">
        <f>Dmax</f>
        <v>0.67944492586209848</v>
      </c>
      <c r="E50" s="87"/>
    </row>
    <row r="51" spans="2:5" ht="20.25" x14ac:dyDescent="0.2">
      <c r="B51" s="196" t="s">
        <v>311</v>
      </c>
      <c r="C51" s="82" t="s">
        <v>330</v>
      </c>
      <c r="D51" s="193" t="s">
        <v>352</v>
      </c>
      <c r="E51" s="194"/>
    </row>
    <row r="52" spans="2:5" ht="20.25" x14ac:dyDescent="0.2">
      <c r="B52" s="198"/>
      <c r="C52" s="83" t="s">
        <v>348</v>
      </c>
      <c r="D52" s="90">
        <f>Iin_avg_max</f>
        <v>13.658229091775421</v>
      </c>
      <c r="E52" s="84" t="str">
        <f>CALCULATIONS!D33</f>
        <v>A</v>
      </c>
    </row>
    <row r="53" spans="2:5" ht="20.25" x14ac:dyDescent="0.2">
      <c r="B53" s="198"/>
      <c r="C53" s="83" t="s">
        <v>312</v>
      </c>
      <c r="D53" s="83">
        <f>Vout</f>
        <v>375</v>
      </c>
      <c r="E53" s="84" t="str">
        <f>CALCULATIONS!D14</f>
        <v>V</v>
      </c>
    </row>
    <row r="54" spans="2:5" ht="21" thickBot="1" x14ac:dyDescent="0.25">
      <c r="B54" s="197"/>
      <c r="C54" s="85" t="s">
        <v>313</v>
      </c>
      <c r="D54" s="86">
        <f>Pdiode</f>
        <v>4.8000000000000007</v>
      </c>
      <c r="E54" s="87" t="str">
        <f>CALCULATIONS!D72</f>
        <v>W</v>
      </c>
    </row>
    <row r="55" spans="2:5" ht="20.25" x14ac:dyDescent="0.2">
      <c r="B55" s="196" t="s">
        <v>315</v>
      </c>
      <c r="C55" s="82" t="s">
        <v>330</v>
      </c>
      <c r="D55" s="193" t="s">
        <v>351</v>
      </c>
      <c r="E55" s="194"/>
    </row>
    <row r="56" spans="2:5" ht="20.25" x14ac:dyDescent="0.2">
      <c r="B56" s="198"/>
      <c r="C56" s="83" t="s">
        <v>322</v>
      </c>
      <c r="D56" s="90">
        <f>Ids_rms</f>
        <v>12.044797232617444</v>
      </c>
      <c r="E56" s="84" t="str">
        <f>CALCULATIONS!D79</f>
        <v>A</v>
      </c>
    </row>
    <row r="57" spans="2:5" ht="20.25" x14ac:dyDescent="0.2">
      <c r="B57" s="198"/>
      <c r="C57" s="83" t="s">
        <v>317</v>
      </c>
      <c r="D57" s="90">
        <f>Il_peak_actual</f>
        <v>22.656219164807105</v>
      </c>
      <c r="E57" s="84" t="str">
        <f>CALCULATIONS!D61</f>
        <v>A</v>
      </c>
    </row>
    <row r="58" spans="2:5" ht="20.25" x14ac:dyDescent="0.2">
      <c r="B58" s="198"/>
      <c r="C58" s="83" t="s">
        <v>314</v>
      </c>
      <c r="D58" s="92">
        <f>Vin_rect_max</f>
        <v>374.7665940288702</v>
      </c>
      <c r="E58" s="84" t="str">
        <f>CALCULATIONS!D29</f>
        <v>V</v>
      </c>
    </row>
    <row r="59" spans="2:5" ht="21" thickBot="1" x14ac:dyDescent="0.25">
      <c r="B59" s="197"/>
      <c r="C59" s="85" t="s">
        <v>313</v>
      </c>
      <c r="D59" s="86">
        <f>P_FET</f>
        <v>56.825848100129406</v>
      </c>
      <c r="E59" s="87" t="str">
        <f>CALCULATIONS!D90</f>
        <v>W</v>
      </c>
    </row>
    <row r="60" spans="2:5" ht="20.25" x14ac:dyDescent="0.2">
      <c r="B60" s="196" t="s">
        <v>316</v>
      </c>
      <c r="C60" s="82" t="s">
        <v>330</v>
      </c>
      <c r="D60" s="193" t="s">
        <v>350</v>
      </c>
      <c r="E60" s="194"/>
    </row>
    <row r="61" spans="2:5" ht="21.75" x14ac:dyDescent="0.2">
      <c r="B61" s="198"/>
      <c r="C61" s="83" t="s">
        <v>307</v>
      </c>
      <c r="D61" s="83">
        <f>IF(Rsense="",CALCULATIONS!C95,Rsense)</f>
        <v>0.02</v>
      </c>
      <c r="E61" s="91" t="s">
        <v>14</v>
      </c>
    </row>
    <row r="62" spans="2:5" ht="21" thickBot="1" x14ac:dyDescent="0.25">
      <c r="B62" s="197"/>
      <c r="C62" s="85" t="s">
        <v>313</v>
      </c>
      <c r="D62" s="96">
        <f>P_Rsense</f>
        <v>4.6028682062659589</v>
      </c>
      <c r="E62" s="87" t="str">
        <f>CALCULATIONS!D98</f>
        <v>W</v>
      </c>
    </row>
    <row r="63" spans="2:5" ht="20.25" x14ac:dyDescent="0.2">
      <c r="B63" s="196" t="s">
        <v>319</v>
      </c>
      <c r="C63" s="82" t="s">
        <v>330</v>
      </c>
      <c r="D63" s="199" t="s">
        <v>323</v>
      </c>
      <c r="E63" s="200"/>
    </row>
    <row r="64" spans="2:5" ht="22.5" thickBot="1" x14ac:dyDescent="0.25">
      <c r="B64" s="197"/>
      <c r="C64" s="85" t="s">
        <v>307</v>
      </c>
      <c r="D64" s="85">
        <f>Risense_actual</f>
        <v>220</v>
      </c>
      <c r="E64" s="97" t="s">
        <v>14</v>
      </c>
    </row>
    <row r="65" spans="2:5" ht="20.25" x14ac:dyDescent="0.2">
      <c r="B65" s="196" t="s">
        <v>320</v>
      </c>
      <c r="C65" s="82" t="s">
        <v>330</v>
      </c>
      <c r="D65" s="193" t="s">
        <v>324</v>
      </c>
      <c r="E65" s="194"/>
    </row>
    <row r="66" spans="2:5" ht="21" thickBot="1" x14ac:dyDescent="0.25">
      <c r="B66" s="197"/>
      <c r="C66" s="85" t="s">
        <v>307</v>
      </c>
      <c r="D66" s="98">
        <f>Cisense</f>
        <v>1112.9716300132541</v>
      </c>
      <c r="E66" s="87" t="str">
        <f>CALCULATIONS!D105</f>
        <v>pF</v>
      </c>
    </row>
    <row r="67" spans="2:5" ht="20.25" x14ac:dyDescent="0.2">
      <c r="B67" s="196" t="s">
        <v>325</v>
      </c>
      <c r="C67" s="82" t="s">
        <v>330</v>
      </c>
      <c r="D67" s="193" t="s">
        <v>326</v>
      </c>
      <c r="E67" s="194"/>
    </row>
    <row r="68" spans="2:5" ht="21.75" x14ac:dyDescent="0.2">
      <c r="B68" s="198"/>
      <c r="C68" s="83" t="s">
        <v>307</v>
      </c>
      <c r="D68" s="83">
        <f>IF(Cout="",CALCULATIONS!C112,Cout)</f>
        <v>1100</v>
      </c>
      <c r="E68" s="91" t="s">
        <v>358</v>
      </c>
    </row>
    <row r="69" spans="2:5" ht="20.25" x14ac:dyDescent="0.2">
      <c r="B69" s="198"/>
      <c r="C69" s="83" t="s">
        <v>314</v>
      </c>
      <c r="D69" s="92">
        <f>CALCULATIONS!C134*1.05</f>
        <v>441.92561538461541</v>
      </c>
      <c r="E69" s="84" t="s">
        <v>13</v>
      </c>
    </row>
    <row r="70" spans="2:5" ht="23.25" x14ac:dyDescent="0.2">
      <c r="B70" s="198"/>
      <c r="C70" s="83" t="s">
        <v>369</v>
      </c>
      <c r="D70" s="99">
        <f>Icout_2fline</f>
        <v>2.2627416997969521</v>
      </c>
      <c r="E70" s="84" t="s">
        <v>360</v>
      </c>
    </row>
    <row r="71" spans="2:5" ht="24" thickBot="1" x14ac:dyDescent="0.25">
      <c r="B71" s="197"/>
      <c r="C71" s="85" t="s">
        <v>349</v>
      </c>
      <c r="D71" s="95">
        <f>Icout_HF</f>
        <v>6.234646590035382</v>
      </c>
      <c r="E71" s="87" t="s">
        <v>360</v>
      </c>
    </row>
    <row r="72" spans="2:5" ht="20.25" x14ac:dyDescent="0.2">
      <c r="B72" s="196" t="s">
        <v>327</v>
      </c>
      <c r="C72" s="82" t="s">
        <v>330</v>
      </c>
      <c r="D72" s="193" t="s">
        <v>340</v>
      </c>
      <c r="E72" s="194"/>
    </row>
    <row r="73" spans="2:5" ht="22.5" thickBot="1" x14ac:dyDescent="0.25">
      <c r="B73" s="197"/>
      <c r="C73" s="85" t="s">
        <v>307</v>
      </c>
      <c r="D73" s="85">
        <f>IF(_Rfb1="",CALCULATIONS!C122,_Rfb1)</f>
        <v>1.004</v>
      </c>
      <c r="E73" s="87" t="s">
        <v>361</v>
      </c>
    </row>
    <row r="74" spans="2:5" ht="20.25" x14ac:dyDescent="0.2">
      <c r="B74" s="196" t="s">
        <v>328</v>
      </c>
      <c r="C74" s="82" t="s">
        <v>330</v>
      </c>
      <c r="D74" s="193" t="s">
        <v>329</v>
      </c>
      <c r="E74" s="194"/>
    </row>
    <row r="75" spans="2:5" ht="22.5" thickBot="1" x14ac:dyDescent="0.25">
      <c r="B75" s="197"/>
      <c r="C75" s="85" t="s">
        <v>307</v>
      </c>
      <c r="D75" s="85">
        <f>IF(_Rfb2="",CALCULATIONS!C126,_Rfb2)</f>
        <v>13</v>
      </c>
      <c r="E75" s="87" t="s">
        <v>362</v>
      </c>
    </row>
    <row r="76" spans="2:5" ht="20.25" x14ac:dyDescent="0.2">
      <c r="B76" s="196" t="s">
        <v>332</v>
      </c>
      <c r="C76" s="82" t="s">
        <v>330</v>
      </c>
      <c r="D76" s="193" t="s">
        <v>333</v>
      </c>
      <c r="E76" s="194"/>
    </row>
    <row r="77" spans="2:5" ht="21" thickBot="1" x14ac:dyDescent="0.25">
      <c r="B77" s="197"/>
      <c r="C77" s="85" t="s">
        <v>307</v>
      </c>
      <c r="D77" s="98">
        <f>Cvsense</f>
        <v>769.2307692307694</v>
      </c>
      <c r="E77" s="87" t="s">
        <v>97</v>
      </c>
    </row>
    <row r="78" spans="2:5" ht="20.25" customHeight="1" x14ac:dyDescent="0.2">
      <c r="B78" s="196" t="s">
        <v>334</v>
      </c>
      <c r="C78" s="82" t="s">
        <v>330</v>
      </c>
      <c r="D78" s="193" t="s">
        <v>333</v>
      </c>
      <c r="E78" s="194"/>
    </row>
    <row r="79" spans="2:5" ht="21" thickBot="1" x14ac:dyDescent="0.25">
      <c r="B79" s="197"/>
      <c r="C79" s="85" t="s">
        <v>307</v>
      </c>
      <c r="D79" s="85">
        <f>IF(CALCULATIONS!C175="",CALCULATIONS!C174,CALCULATIONS!C175)</f>
        <v>1000</v>
      </c>
      <c r="E79" s="87" t="s">
        <v>97</v>
      </c>
    </row>
    <row r="80" spans="2:5" ht="20.25" customHeight="1" x14ac:dyDescent="0.2">
      <c r="B80" s="196" t="s">
        <v>335</v>
      </c>
      <c r="C80" s="82" t="s">
        <v>330</v>
      </c>
      <c r="D80" s="193" t="s">
        <v>336</v>
      </c>
      <c r="E80" s="194"/>
    </row>
    <row r="81" spans="2:5" ht="22.5" thickBot="1" x14ac:dyDescent="0.25">
      <c r="B81" s="197"/>
      <c r="C81" s="85" t="s">
        <v>307</v>
      </c>
      <c r="D81" s="85">
        <f>IF(CALCULATIONS!C265="",CALCULATIONS!C264,CALCULATIONS!C265)</f>
        <v>4.2</v>
      </c>
      <c r="E81" s="97" t="s">
        <v>358</v>
      </c>
    </row>
    <row r="82" spans="2:5" ht="20.25" x14ac:dyDescent="0.2">
      <c r="B82" s="198" t="s">
        <v>337</v>
      </c>
      <c r="C82" s="83" t="s">
        <v>330</v>
      </c>
      <c r="D82" s="191" t="s">
        <v>329</v>
      </c>
      <c r="E82" s="192"/>
    </row>
    <row r="83" spans="2:5" ht="22.5" thickBot="1" x14ac:dyDescent="0.25">
      <c r="B83" s="197"/>
      <c r="C83" s="85" t="s">
        <v>307</v>
      </c>
      <c r="D83" s="85">
        <f>IF(CALCULATIONS!C267="",CALCULATIONS!C266,CALCULATIONS!C267)</f>
        <v>25</v>
      </c>
      <c r="E83" s="87" t="s">
        <v>362</v>
      </c>
    </row>
    <row r="84" spans="2:5" ht="20.25" x14ac:dyDescent="0.2">
      <c r="B84" s="196" t="s">
        <v>338</v>
      </c>
      <c r="C84" s="82" t="s">
        <v>330</v>
      </c>
      <c r="D84" s="193" t="s">
        <v>336</v>
      </c>
      <c r="E84" s="194"/>
    </row>
    <row r="85" spans="2:5" ht="22.5" thickBot="1" x14ac:dyDescent="0.25">
      <c r="B85" s="197"/>
      <c r="C85" s="85" t="s">
        <v>307</v>
      </c>
      <c r="D85" s="85">
        <f>IF(CALCULATIONS!C271="",CALCULATIONS!C270,CALCULATIONS!C271)</f>
        <v>0.33</v>
      </c>
      <c r="E85" s="97" t="s">
        <v>363</v>
      </c>
    </row>
    <row r="86" spans="2:5" ht="20.25" x14ac:dyDescent="0.2">
      <c r="B86" s="198" t="s">
        <v>339</v>
      </c>
      <c r="C86" s="83" t="s">
        <v>330</v>
      </c>
      <c r="D86" s="191" t="s">
        <v>340</v>
      </c>
      <c r="E86" s="192"/>
    </row>
    <row r="87" spans="2:5" ht="22.5" thickBot="1" x14ac:dyDescent="0.25">
      <c r="B87" s="197"/>
      <c r="C87" s="85" t="s">
        <v>307</v>
      </c>
      <c r="D87" s="85">
        <f>IF(CALCULATIONS!C309="",CALCULATIONS!C308,CALCULATIONS!C309)</f>
        <v>7.5</v>
      </c>
      <c r="E87" s="87" t="s">
        <v>361</v>
      </c>
    </row>
    <row r="88" spans="2:5" ht="20.25" x14ac:dyDescent="0.2">
      <c r="B88" s="196" t="s">
        <v>341</v>
      </c>
      <c r="C88" s="82" t="s">
        <v>330</v>
      </c>
      <c r="D88" s="193" t="s">
        <v>329</v>
      </c>
      <c r="E88" s="194"/>
    </row>
    <row r="89" spans="2:5" ht="22.5" thickBot="1" x14ac:dyDescent="0.25">
      <c r="B89" s="197"/>
      <c r="C89" s="85" t="s">
        <v>307</v>
      </c>
      <c r="D89" s="85">
        <f>IF(CALCULATIONS!C311="",CALCULATIONS!C310,CALCULATIONS!C311)</f>
        <v>100</v>
      </c>
      <c r="E89" s="87" t="s">
        <v>362</v>
      </c>
    </row>
    <row r="90" spans="2:5" ht="20.25" x14ac:dyDescent="0.2">
      <c r="B90" s="196" t="s">
        <v>342</v>
      </c>
      <c r="C90" s="82" t="s">
        <v>330</v>
      </c>
      <c r="D90" s="193" t="s">
        <v>343</v>
      </c>
      <c r="E90" s="194"/>
    </row>
    <row r="91" spans="2:5" ht="22.5" thickBot="1" x14ac:dyDescent="0.25">
      <c r="B91" s="197"/>
      <c r="C91" s="85" t="s">
        <v>307</v>
      </c>
      <c r="D91" s="95">
        <f>Cvins_hu</f>
        <v>0.33</v>
      </c>
      <c r="E91" s="97" t="s">
        <v>358</v>
      </c>
    </row>
    <row r="92" spans="2:5" ht="20.25" x14ac:dyDescent="0.2">
      <c r="B92" s="198" t="s">
        <v>344</v>
      </c>
      <c r="C92" s="83" t="s">
        <v>330</v>
      </c>
      <c r="D92" s="191" t="s">
        <v>345</v>
      </c>
      <c r="E92" s="192"/>
    </row>
    <row r="93" spans="2:5" ht="21.75" x14ac:dyDescent="0.2">
      <c r="B93" s="198"/>
      <c r="C93" s="206" t="s">
        <v>346</v>
      </c>
      <c r="D93" s="83">
        <v>0.1</v>
      </c>
      <c r="E93" s="91" t="s">
        <v>358</v>
      </c>
    </row>
    <row r="94" spans="2:5" ht="22.5" thickBot="1" x14ac:dyDescent="0.25">
      <c r="B94" s="197"/>
      <c r="C94" s="207"/>
      <c r="D94" s="85">
        <v>1</v>
      </c>
      <c r="E94" s="97" t="s">
        <v>358</v>
      </c>
    </row>
    <row r="95" spans="2:5" x14ac:dyDescent="0.2">
      <c r="D95" s="79"/>
    </row>
    <row r="96" spans="2:5" x14ac:dyDescent="0.2">
      <c r="E96"/>
    </row>
    <row r="97" spans="4:4" x14ac:dyDescent="0.2">
      <c r="D97" s="79"/>
    </row>
  </sheetData>
  <sheetProtection password="E59D" sheet="1" objects="1" scenarios="1"/>
  <mergeCells count="44">
    <mergeCell ref="B44:B46"/>
    <mergeCell ref="B47:B50"/>
    <mergeCell ref="B92:B94"/>
    <mergeCell ref="C93:C94"/>
    <mergeCell ref="B84:B85"/>
    <mergeCell ref="B86:B87"/>
    <mergeCell ref="B88:B89"/>
    <mergeCell ref="B90:B91"/>
    <mergeCell ref="B78:B79"/>
    <mergeCell ref="B80:B81"/>
    <mergeCell ref="B82:B83"/>
    <mergeCell ref="B72:B73"/>
    <mergeCell ref="B74:B75"/>
    <mergeCell ref="B76:B77"/>
    <mergeCell ref="B67:B71"/>
    <mergeCell ref="A1:F2"/>
    <mergeCell ref="B65:B66"/>
    <mergeCell ref="B55:B59"/>
    <mergeCell ref="B63:B64"/>
    <mergeCell ref="B38:B40"/>
    <mergeCell ref="B41:B43"/>
    <mergeCell ref="D55:E55"/>
    <mergeCell ref="D60:E60"/>
    <mergeCell ref="D63:E63"/>
    <mergeCell ref="C37:E37"/>
    <mergeCell ref="B36:E36"/>
    <mergeCell ref="D38:E38"/>
    <mergeCell ref="D44:E44"/>
    <mergeCell ref="B51:B54"/>
    <mergeCell ref="B60:B62"/>
    <mergeCell ref="D51:E51"/>
    <mergeCell ref="D92:E92"/>
    <mergeCell ref="D65:E65"/>
    <mergeCell ref="D67:E67"/>
    <mergeCell ref="D72:E72"/>
    <mergeCell ref="D74:E74"/>
    <mergeCell ref="D76:E76"/>
    <mergeCell ref="D78:E78"/>
    <mergeCell ref="D90:E90"/>
    <mergeCell ref="D84:E84"/>
    <mergeCell ref="D86:E86"/>
    <mergeCell ref="D88:E88"/>
    <mergeCell ref="D82:E82"/>
    <mergeCell ref="D80:E80"/>
  </mergeCells>
  <phoneticPr fontId="6"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8194" r:id="rId4">
          <objectPr defaultSize="0" autoPict="0" r:id="rId5">
            <anchor moveWithCells="1">
              <from>
                <xdr:col>1</xdr:col>
                <xdr:colOff>0</xdr:colOff>
                <xdr:row>2</xdr:row>
                <xdr:rowOff>28575</xdr:rowOff>
              </from>
              <to>
                <xdr:col>5</xdr:col>
                <xdr:colOff>152400</xdr:colOff>
                <xdr:row>34</xdr:row>
                <xdr:rowOff>85725</xdr:rowOff>
              </to>
            </anchor>
          </objectPr>
        </oleObject>
      </mc:Choice>
      <mc:Fallback>
        <oleObject progId="Visio.Drawing.6" shapeId="8194"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2:Y382"/>
  <sheetViews>
    <sheetView topLeftCell="A82" workbookViewId="0">
      <selection activeCell="G107" sqref="G107"/>
    </sheetView>
  </sheetViews>
  <sheetFormatPr baseColWidth="10" defaultColWidth="9.140625" defaultRowHeight="12.75" x14ac:dyDescent="0.2"/>
  <cols>
    <col min="1" max="3" width="9.140625" style="108"/>
    <col min="4" max="4" width="29.42578125" style="108" customWidth="1"/>
    <col min="5" max="6" width="9.140625" style="108"/>
    <col min="7" max="7" width="12.42578125" style="108" bestFit="1" customWidth="1"/>
    <col min="8" max="8" width="12.7109375" style="108" customWidth="1"/>
    <col min="9" max="9" width="13.42578125" style="108" customWidth="1"/>
    <col min="10" max="10" width="20.42578125" style="108" customWidth="1"/>
    <col min="11" max="11" width="43.140625" style="108" customWidth="1"/>
    <col min="12" max="12" width="14.42578125" style="108" customWidth="1"/>
    <col min="13" max="13" width="24.85546875" style="108" customWidth="1"/>
    <col min="14" max="14" width="9.140625" style="108"/>
    <col min="15" max="15" width="16" style="108" customWidth="1"/>
    <col min="16" max="16" width="33.7109375" style="108" customWidth="1"/>
    <col min="17" max="17" width="9.140625" style="108"/>
    <col min="18" max="18" width="23.140625" style="108" customWidth="1"/>
    <col min="19" max="19" width="20.7109375" style="108" customWidth="1"/>
    <col min="20" max="20" width="19.85546875" style="108" customWidth="1"/>
    <col min="21" max="16384" width="9.140625" style="108"/>
  </cols>
  <sheetData>
    <row r="2" spans="2:9" ht="15.75" x14ac:dyDescent="0.2">
      <c r="B2" s="115" t="s">
        <v>416</v>
      </c>
      <c r="C2" s="115">
        <f>65*kHz</f>
        <v>65000</v>
      </c>
      <c r="G2" s="118" t="s">
        <v>417</v>
      </c>
      <c r="H2" s="118">
        <v>0.66</v>
      </c>
      <c r="I2" s="118" t="s">
        <v>13</v>
      </c>
    </row>
    <row r="3" spans="2:9" ht="15.75" x14ac:dyDescent="0.2">
      <c r="B3" s="116" t="s">
        <v>380</v>
      </c>
      <c r="C3" s="117">
        <f>10^-3</f>
        <v>1E-3</v>
      </c>
      <c r="G3" s="118" t="s">
        <v>418</v>
      </c>
      <c r="H3" s="118">
        <v>1.1499999999999999</v>
      </c>
      <c r="I3" s="118" t="s">
        <v>13</v>
      </c>
    </row>
    <row r="4" spans="2:9" ht="14.25" x14ac:dyDescent="0.2">
      <c r="B4" s="116" t="s">
        <v>381</v>
      </c>
      <c r="C4" s="117">
        <f>(10^-6)</f>
        <v>9.9999999999999995E-7</v>
      </c>
      <c r="G4" s="118" t="s">
        <v>419</v>
      </c>
      <c r="H4" s="118">
        <v>5</v>
      </c>
      <c r="I4" s="118" t="s">
        <v>13</v>
      </c>
    </row>
    <row r="5" spans="2:9" ht="14.25" x14ac:dyDescent="0.2">
      <c r="B5" s="116" t="s">
        <v>382</v>
      </c>
      <c r="C5" s="117">
        <f>10^3</f>
        <v>1000</v>
      </c>
      <c r="G5" s="118" t="s">
        <v>420</v>
      </c>
      <c r="H5" s="118">
        <v>5.25</v>
      </c>
      <c r="I5" s="118" t="s">
        <v>13</v>
      </c>
    </row>
    <row r="6" spans="2:9" ht="14.25" x14ac:dyDescent="0.2">
      <c r="B6" s="116" t="s">
        <v>383</v>
      </c>
      <c r="C6" s="117">
        <f>10^-3</f>
        <v>1E-3</v>
      </c>
      <c r="G6" s="118" t="s">
        <v>432</v>
      </c>
      <c r="H6" s="118">
        <v>5.38</v>
      </c>
      <c r="I6" s="118" t="s">
        <v>13</v>
      </c>
    </row>
    <row r="7" spans="2:9" ht="14.25" x14ac:dyDescent="0.2">
      <c r="B7" s="116" t="s">
        <v>384</v>
      </c>
      <c r="C7" s="117">
        <f>10^-3</f>
        <v>1E-3</v>
      </c>
      <c r="G7" s="118" t="s">
        <v>433</v>
      </c>
      <c r="H7" s="118">
        <v>5.12</v>
      </c>
      <c r="I7" s="118" t="s">
        <v>13</v>
      </c>
    </row>
    <row r="8" spans="2:9" ht="14.25" x14ac:dyDescent="0.2">
      <c r="B8" s="116" t="s">
        <v>385</v>
      </c>
      <c r="C8" s="117">
        <f>10^-3</f>
        <v>1E-3</v>
      </c>
      <c r="G8" s="118" t="s">
        <v>421</v>
      </c>
      <c r="H8" s="118">
        <v>4.75</v>
      </c>
      <c r="I8" s="118" t="s">
        <v>13</v>
      </c>
    </row>
    <row r="9" spans="2:9" ht="14.25" x14ac:dyDescent="0.2">
      <c r="B9" s="116" t="s">
        <v>386</v>
      </c>
      <c r="C9" s="117">
        <f>10^-6</f>
        <v>9.9999999999999995E-7</v>
      </c>
      <c r="G9" s="118" t="s">
        <v>436</v>
      </c>
      <c r="H9" s="118">
        <v>4.87</v>
      </c>
      <c r="I9" s="118" t="s">
        <v>13</v>
      </c>
    </row>
    <row r="10" spans="2:9" ht="14.25" x14ac:dyDescent="0.2">
      <c r="B10" s="116" t="s">
        <v>387</v>
      </c>
      <c r="C10" s="117">
        <f>10^-6</f>
        <v>9.9999999999999995E-7</v>
      </c>
      <c r="G10" s="118" t="s">
        <v>437</v>
      </c>
      <c r="H10" s="118">
        <v>4.63</v>
      </c>
      <c r="I10" s="118" t="s">
        <v>13</v>
      </c>
    </row>
    <row r="11" spans="2:9" ht="15.75" x14ac:dyDescent="0.2">
      <c r="B11" s="116" t="s">
        <v>388</v>
      </c>
      <c r="C11" s="117">
        <f>10^-9</f>
        <v>1.0000000000000001E-9</v>
      </c>
      <c r="G11" s="118" t="s">
        <v>422</v>
      </c>
      <c r="H11" s="118">
        <v>0.01</v>
      </c>
      <c r="I11" s="118" t="s">
        <v>125</v>
      </c>
    </row>
    <row r="12" spans="2:9" ht="15.75" x14ac:dyDescent="0.2">
      <c r="B12" s="116" t="s">
        <v>389</v>
      </c>
      <c r="C12" s="117">
        <f>10^-3</f>
        <v>1E-3</v>
      </c>
      <c r="G12" s="118" t="s">
        <v>427</v>
      </c>
      <c r="H12" s="118">
        <v>1.6</v>
      </c>
      <c r="I12" s="118" t="s">
        <v>13</v>
      </c>
    </row>
    <row r="13" spans="2:9" ht="15.75" x14ac:dyDescent="0.2">
      <c r="B13" s="116" t="s">
        <v>390</v>
      </c>
      <c r="C13" s="117">
        <f>10^-12</f>
        <v>9.9999999999999998E-13</v>
      </c>
      <c r="G13" s="118" t="s">
        <v>456</v>
      </c>
      <c r="H13" s="118">
        <v>1.4</v>
      </c>
      <c r="I13" s="118" t="s">
        <v>13</v>
      </c>
    </row>
    <row r="14" spans="2:9" ht="15.75" x14ac:dyDescent="0.2">
      <c r="B14" s="116" t="s">
        <v>391</v>
      </c>
      <c r="C14" s="117">
        <f>10^6</f>
        <v>1000000</v>
      </c>
      <c r="G14" s="118" t="s">
        <v>455</v>
      </c>
      <c r="H14" s="118">
        <v>1.5</v>
      </c>
      <c r="I14" s="118" t="s">
        <v>13</v>
      </c>
    </row>
    <row r="15" spans="2:9" ht="15.75" x14ac:dyDescent="0.2">
      <c r="B15" s="116" t="s">
        <v>392</v>
      </c>
      <c r="C15" s="117">
        <f>10^-6</f>
        <v>9.9999999999999995E-7</v>
      </c>
      <c r="G15" s="118" t="s">
        <v>457</v>
      </c>
      <c r="H15" s="118">
        <v>0.76</v>
      </c>
      <c r="I15" s="118" t="s">
        <v>13</v>
      </c>
    </row>
    <row r="16" spans="2:9" ht="15.75" x14ac:dyDescent="0.25">
      <c r="B16" s="116" t="s">
        <v>393</v>
      </c>
      <c r="C16" s="117">
        <f>10^3</f>
        <v>1000</v>
      </c>
      <c r="G16" s="118" t="s">
        <v>458</v>
      </c>
      <c r="H16" s="118">
        <v>0.88</v>
      </c>
      <c r="I16" s="118" t="s">
        <v>13</v>
      </c>
    </row>
    <row r="17" spans="1:12" ht="15.75" x14ac:dyDescent="0.2">
      <c r="B17" s="116" t="s">
        <v>394</v>
      </c>
      <c r="C17" s="117">
        <f>10^-9</f>
        <v>1.0000000000000001E-9</v>
      </c>
      <c r="G17" s="118" t="s">
        <v>459</v>
      </c>
      <c r="H17" s="118">
        <v>0.82</v>
      </c>
      <c r="I17" s="118" t="s">
        <v>13</v>
      </c>
    </row>
    <row r="18" spans="1:12" ht="15.75" x14ac:dyDescent="0.2">
      <c r="B18" s="116" t="s">
        <v>395</v>
      </c>
      <c r="C18" s="117">
        <f>10^-9</f>
        <v>1.0000000000000001E-9</v>
      </c>
      <c r="G18" s="118" t="s">
        <v>452</v>
      </c>
      <c r="H18" s="118">
        <v>2.1999999999999999E-2</v>
      </c>
      <c r="I18" s="118" t="s">
        <v>20</v>
      </c>
    </row>
    <row r="19" spans="1:12" ht="15.75" x14ac:dyDescent="0.2">
      <c r="B19" s="116" t="s">
        <v>396</v>
      </c>
      <c r="C19" s="117">
        <f>10^-6</f>
        <v>9.9999999999999995E-7</v>
      </c>
      <c r="G19" s="118" t="s">
        <v>429</v>
      </c>
      <c r="H19" s="118">
        <v>15</v>
      </c>
      <c r="I19" s="118" t="s">
        <v>428</v>
      </c>
    </row>
    <row r="20" spans="1:12" ht="14.25" x14ac:dyDescent="0.2">
      <c r="B20" s="115" t="s">
        <v>397</v>
      </c>
      <c r="C20" s="117">
        <f>10^6</f>
        <v>1000000</v>
      </c>
    </row>
    <row r="21" spans="1:12" ht="14.25" x14ac:dyDescent="0.2">
      <c r="B21" s="115" t="s">
        <v>398</v>
      </c>
      <c r="C21" s="117">
        <f>10^-3</f>
        <v>1E-3</v>
      </c>
    </row>
    <row r="22" spans="1:12" ht="14.25" x14ac:dyDescent="0.2">
      <c r="B22" s="115" t="s">
        <v>423</v>
      </c>
      <c r="C22" s="117">
        <f>(10^-6)</f>
        <v>9.9999999999999995E-7</v>
      </c>
    </row>
    <row r="23" spans="1:12" ht="14.25" x14ac:dyDescent="0.2">
      <c r="A23" s="114"/>
      <c r="B23" s="115" t="s">
        <v>424</v>
      </c>
      <c r="C23" s="117">
        <f>10^-3</f>
        <v>1E-3</v>
      </c>
      <c r="D23" s="114"/>
      <c r="E23" s="114"/>
    </row>
    <row r="24" spans="1:12" ht="14.25" x14ac:dyDescent="0.2">
      <c r="B24" s="114"/>
      <c r="C24" s="114"/>
      <c r="D24" s="114"/>
      <c r="E24" s="114"/>
    </row>
    <row r="25" spans="1:12" ht="14.25" x14ac:dyDescent="0.2">
      <c r="B25" s="114"/>
      <c r="E25" s="114"/>
    </row>
    <row r="26" spans="1:12" ht="14.25" x14ac:dyDescent="0.2">
      <c r="B26" s="114"/>
      <c r="E26" s="114"/>
    </row>
    <row r="27" spans="1:12" ht="14.25" x14ac:dyDescent="0.2">
      <c r="B27" s="114"/>
      <c r="E27" s="114"/>
    </row>
    <row r="28" spans="1:12" ht="14.25" x14ac:dyDescent="0.2">
      <c r="B28" s="114"/>
      <c r="E28" s="114"/>
    </row>
    <row r="29" spans="1:12" ht="14.25" x14ac:dyDescent="0.2">
      <c r="B29" s="114"/>
      <c r="E29" s="114"/>
    </row>
    <row r="30" spans="1:12" ht="14.25" x14ac:dyDescent="0.2">
      <c r="A30" s="208" t="s">
        <v>177</v>
      </c>
      <c r="B30" s="208"/>
      <c r="C30" s="208"/>
      <c r="D30" s="208"/>
      <c r="E30" s="114"/>
    </row>
    <row r="31" spans="1:12" ht="14.25" x14ac:dyDescent="0.2">
      <c r="E31" s="114"/>
    </row>
    <row r="32" spans="1:12" ht="14.25" x14ac:dyDescent="0.2">
      <c r="A32" s="125" t="s">
        <v>167</v>
      </c>
      <c r="B32" s="125" t="s">
        <v>171</v>
      </c>
      <c r="C32" s="125" t="s">
        <v>172</v>
      </c>
      <c r="D32" s="125" t="s">
        <v>166</v>
      </c>
      <c r="F32" s="114"/>
      <c r="I32" s="114"/>
      <c r="L32" s="114"/>
    </row>
    <row r="33" spans="1:12" ht="14.25" x14ac:dyDescent="0.2">
      <c r="A33" s="125">
        <v>0</v>
      </c>
      <c r="B33" s="109">
        <f>IF(A33&lt;2,(0.064),IF(A33&lt;3,(0.139*A33-0.214),IF(A33&lt;5.5,(0.279*A33-0.632),IF(A33&lt;7,0.903,"VCOMP MUST BE &lt; 7"))))</f>
        <v>6.4000000000000001E-2</v>
      </c>
      <c r="C33" s="109">
        <f>IF(A33&lt;=1.5,0,IF(A33&lt;5.6,(0.1223*(A33-1.5)^2),IF(A33&lt;7,2.056,"VCOMP MUST BE &lt; 7")))</f>
        <v>0</v>
      </c>
      <c r="D33" s="122">
        <f>B33*C33</f>
        <v>0</v>
      </c>
      <c r="F33" s="114"/>
      <c r="I33" s="114"/>
      <c r="L33" s="114"/>
    </row>
    <row r="34" spans="1:12" ht="14.25" x14ac:dyDescent="0.2">
      <c r="A34" s="125">
        <f>A33+0.05</f>
        <v>0.05</v>
      </c>
      <c r="B34" s="109">
        <f t="shared" ref="B34:B97" si="0">IF(A34&lt;2,(0.064),IF(A34&lt;3,(0.139*A34-0.214),IF(A34&lt;5.5,(0.279*A34-0.632),IF(A34&lt;7,0.903,"VCOMP MUST BE &lt; 7"))))</f>
        <v>6.4000000000000001E-2</v>
      </c>
      <c r="C34" s="109">
        <f t="shared" ref="C34:C39" si="1">IF(A34&lt;=1.5,0,IF(A34&lt;5.6,(0.1223*(A34-1.5)^2),IF(A34&lt;7,2.056,"VCOMP MUST BE &lt; 7")))</f>
        <v>0</v>
      </c>
      <c r="D34" s="122">
        <f t="shared" ref="D34:D97" si="2">B34*C34</f>
        <v>0</v>
      </c>
      <c r="F34" s="114"/>
      <c r="I34" s="114"/>
      <c r="L34" s="114"/>
    </row>
    <row r="35" spans="1:12" ht="14.25" x14ac:dyDescent="0.2">
      <c r="A35" s="125">
        <f>A34+0.05</f>
        <v>0.1</v>
      </c>
      <c r="B35" s="109">
        <f t="shared" si="0"/>
        <v>6.4000000000000001E-2</v>
      </c>
      <c r="C35" s="109">
        <f t="shared" si="1"/>
        <v>0</v>
      </c>
      <c r="D35" s="122">
        <f t="shared" si="2"/>
        <v>0</v>
      </c>
      <c r="F35" s="114"/>
      <c r="I35" s="114"/>
      <c r="L35" s="114"/>
    </row>
    <row r="36" spans="1:12" ht="14.25" x14ac:dyDescent="0.2">
      <c r="A36" s="125">
        <f>A35+0.05</f>
        <v>0.15000000000000002</v>
      </c>
      <c r="B36" s="109">
        <f t="shared" si="0"/>
        <v>6.4000000000000001E-2</v>
      </c>
      <c r="C36" s="109">
        <f t="shared" si="1"/>
        <v>0</v>
      </c>
      <c r="D36" s="122">
        <f t="shared" si="2"/>
        <v>0</v>
      </c>
      <c r="F36" s="114"/>
      <c r="I36" s="114"/>
      <c r="L36" s="114"/>
    </row>
    <row r="37" spans="1:12" ht="14.25" x14ac:dyDescent="0.2">
      <c r="A37" s="125">
        <f t="shared" ref="A37:A68" si="3">A36+0.05</f>
        <v>0.2</v>
      </c>
      <c r="B37" s="109">
        <f t="shared" si="0"/>
        <v>6.4000000000000001E-2</v>
      </c>
      <c r="C37" s="109">
        <f t="shared" si="1"/>
        <v>0</v>
      </c>
      <c r="D37" s="122">
        <f t="shared" si="2"/>
        <v>0</v>
      </c>
      <c r="F37" s="114"/>
      <c r="I37" s="114"/>
      <c r="L37" s="114"/>
    </row>
    <row r="38" spans="1:12" ht="14.25" x14ac:dyDescent="0.2">
      <c r="A38" s="125">
        <f t="shared" si="3"/>
        <v>0.25</v>
      </c>
      <c r="B38" s="109">
        <f t="shared" si="0"/>
        <v>6.4000000000000001E-2</v>
      </c>
      <c r="C38" s="109">
        <f t="shared" si="1"/>
        <v>0</v>
      </c>
      <c r="D38" s="122">
        <f t="shared" si="2"/>
        <v>0</v>
      </c>
      <c r="F38" s="114"/>
      <c r="I38" s="114"/>
      <c r="L38" s="114"/>
    </row>
    <row r="39" spans="1:12" ht="14.25" x14ac:dyDescent="0.2">
      <c r="A39" s="125">
        <f t="shared" si="3"/>
        <v>0.3</v>
      </c>
      <c r="B39" s="109">
        <f t="shared" si="0"/>
        <v>6.4000000000000001E-2</v>
      </c>
      <c r="C39" s="109">
        <f t="shared" si="1"/>
        <v>0</v>
      </c>
      <c r="D39" s="122">
        <f t="shared" si="2"/>
        <v>0</v>
      </c>
      <c r="F39" s="114"/>
      <c r="I39" s="114"/>
      <c r="L39" s="114"/>
    </row>
    <row r="40" spans="1:12" ht="14.25" x14ac:dyDescent="0.2">
      <c r="A40" s="125">
        <f t="shared" si="3"/>
        <v>0.35</v>
      </c>
      <c r="B40" s="109">
        <f t="shared" si="0"/>
        <v>6.4000000000000001E-2</v>
      </c>
      <c r="C40" s="109">
        <f t="shared" ref="C40:C55" si="4">IF(A40&lt;=1.5,0,IF(A40&lt;5.6,(0.1223*(A40-1.5)^2),IF(A40&lt;7,2.056,"VCOMP MUST BE &lt; 7")))</f>
        <v>0</v>
      </c>
      <c r="D40" s="122">
        <f t="shared" si="2"/>
        <v>0</v>
      </c>
      <c r="F40" s="114"/>
      <c r="I40" s="114"/>
      <c r="L40" s="114"/>
    </row>
    <row r="41" spans="1:12" ht="14.25" x14ac:dyDescent="0.2">
      <c r="A41" s="125">
        <f>A40+0.05</f>
        <v>0.39999999999999997</v>
      </c>
      <c r="B41" s="109">
        <f t="shared" si="0"/>
        <v>6.4000000000000001E-2</v>
      </c>
      <c r="C41" s="109">
        <f t="shared" si="4"/>
        <v>0</v>
      </c>
      <c r="D41" s="122">
        <f t="shared" si="2"/>
        <v>0</v>
      </c>
      <c r="F41" s="114"/>
      <c r="I41" s="114"/>
      <c r="L41" s="114"/>
    </row>
    <row r="42" spans="1:12" ht="14.25" x14ac:dyDescent="0.2">
      <c r="A42" s="125">
        <f t="shared" si="3"/>
        <v>0.44999999999999996</v>
      </c>
      <c r="B42" s="109">
        <f t="shared" si="0"/>
        <v>6.4000000000000001E-2</v>
      </c>
      <c r="C42" s="109">
        <f t="shared" si="4"/>
        <v>0</v>
      </c>
      <c r="D42" s="122">
        <f t="shared" si="2"/>
        <v>0</v>
      </c>
      <c r="F42" s="114"/>
      <c r="I42" s="114"/>
      <c r="L42" s="114"/>
    </row>
    <row r="43" spans="1:12" ht="14.25" x14ac:dyDescent="0.2">
      <c r="A43" s="125">
        <f t="shared" si="3"/>
        <v>0.49999999999999994</v>
      </c>
      <c r="B43" s="109">
        <f t="shared" si="0"/>
        <v>6.4000000000000001E-2</v>
      </c>
      <c r="C43" s="109">
        <f t="shared" si="4"/>
        <v>0</v>
      </c>
      <c r="D43" s="122">
        <f t="shared" si="2"/>
        <v>0</v>
      </c>
      <c r="F43" s="114"/>
      <c r="I43" s="114"/>
      <c r="L43" s="114"/>
    </row>
    <row r="44" spans="1:12" ht="14.25" x14ac:dyDescent="0.2">
      <c r="A44" s="125">
        <f t="shared" si="3"/>
        <v>0.54999999999999993</v>
      </c>
      <c r="B44" s="109">
        <f t="shared" si="0"/>
        <v>6.4000000000000001E-2</v>
      </c>
      <c r="C44" s="109">
        <f t="shared" si="4"/>
        <v>0</v>
      </c>
      <c r="D44" s="122">
        <f t="shared" si="2"/>
        <v>0</v>
      </c>
      <c r="F44" s="114"/>
      <c r="I44" s="114"/>
      <c r="L44" s="114"/>
    </row>
    <row r="45" spans="1:12" ht="14.25" x14ac:dyDescent="0.2">
      <c r="A45" s="125">
        <f t="shared" si="3"/>
        <v>0.6</v>
      </c>
      <c r="B45" s="109">
        <f t="shared" si="0"/>
        <v>6.4000000000000001E-2</v>
      </c>
      <c r="C45" s="109">
        <f t="shared" si="4"/>
        <v>0</v>
      </c>
      <c r="D45" s="122">
        <f t="shared" si="2"/>
        <v>0</v>
      </c>
      <c r="F45" s="114"/>
      <c r="I45" s="114"/>
      <c r="L45" s="114"/>
    </row>
    <row r="46" spans="1:12" ht="14.25" x14ac:dyDescent="0.2">
      <c r="A46" s="125">
        <f t="shared" si="3"/>
        <v>0.65</v>
      </c>
      <c r="B46" s="109">
        <f t="shared" si="0"/>
        <v>6.4000000000000001E-2</v>
      </c>
      <c r="C46" s="109">
        <f t="shared" si="4"/>
        <v>0</v>
      </c>
      <c r="D46" s="122">
        <f t="shared" si="2"/>
        <v>0</v>
      </c>
      <c r="F46" s="114"/>
      <c r="I46" s="114"/>
      <c r="L46" s="114"/>
    </row>
    <row r="47" spans="1:12" ht="14.25" x14ac:dyDescent="0.2">
      <c r="A47" s="125">
        <f t="shared" si="3"/>
        <v>0.70000000000000007</v>
      </c>
      <c r="B47" s="109">
        <f t="shared" si="0"/>
        <v>6.4000000000000001E-2</v>
      </c>
      <c r="C47" s="109">
        <f t="shared" si="4"/>
        <v>0</v>
      </c>
      <c r="D47" s="122">
        <f t="shared" si="2"/>
        <v>0</v>
      </c>
      <c r="F47" s="114"/>
      <c r="I47" s="114"/>
      <c r="L47" s="114"/>
    </row>
    <row r="48" spans="1:12" ht="14.25" x14ac:dyDescent="0.2">
      <c r="A48" s="125">
        <f t="shared" si="3"/>
        <v>0.75000000000000011</v>
      </c>
      <c r="B48" s="109">
        <f t="shared" si="0"/>
        <v>6.4000000000000001E-2</v>
      </c>
      <c r="C48" s="109">
        <f t="shared" si="4"/>
        <v>0</v>
      </c>
      <c r="D48" s="122">
        <f t="shared" si="2"/>
        <v>0</v>
      </c>
      <c r="F48" s="114"/>
      <c r="I48" s="114"/>
      <c r="L48" s="114"/>
    </row>
    <row r="49" spans="1:12" ht="14.25" x14ac:dyDescent="0.2">
      <c r="A49" s="125">
        <f t="shared" si="3"/>
        <v>0.80000000000000016</v>
      </c>
      <c r="B49" s="109">
        <f t="shared" si="0"/>
        <v>6.4000000000000001E-2</v>
      </c>
      <c r="C49" s="109">
        <f t="shared" si="4"/>
        <v>0</v>
      </c>
      <c r="D49" s="122">
        <f t="shared" si="2"/>
        <v>0</v>
      </c>
      <c r="F49" s="114"/>
      <c r="I49" s="114"/>
      <c r="L49" s="114"/>
    </row>
    <row r="50" spans="1:12" ht="14.25" x14ac:dyDescent="0.2">
      <c r="A50" s="125">
        <f t="shared" si="3"/>
        <v>0.8500000000000002</v>
      </c>
      <c r="B50" s="109">
        <f t="shared" si="0"/>
        <v>6.4000000000000001E-2</v>
      </c>
      <c r="C50" s="109">
        <f t="shared" si="4"/>
        <v>0</v>
      </c>
      <c r="D50" s="122">
        <f t="shared" si="2"/>
        <v>0</v>
      </c>
      <c r="F50" s="114"/>
      <c r="I50" s="114"/>
      <c r="L50" s="114"/>
    </row>
    <row r="51" spans="1:12" ht="14.25" x14ac:dyDescent="0.2">
      <c r="A51" s="125">
        <f t="shared" si="3"/>
        <v>0.90000000000000024</v>
      </c>
      <c r="B51" s="109">
        <f t="shared" si="0"/>
        <v>6.4000000000000001E-2</v>
      </c>
      <c r="C51" s="109">
        <f t="shared" si="4"/>
        <v>0</v>
      </c>
      <c r="D51" s="122">
        <f t="shared" si="2"/>
        <v>0</v>
      </c>
      <c r="F51" s="114"/>
      <c r="I51" s="114"/>
      <c r="L51" s="114"/>
    </row>
    <row r="52" spans="1:12" ht="14.25" x14ac:dyDescent="0.2">
      <c r="A52" s="125">
        <f t="shared" si="3"/>
        <v>0.95000000000000029</v>
      </c>
      <c r="B52" s="109">
        <f t="shared" si="0"/>
        <v>6.4000000000000001E-2</v>
      </c>
      <c r="C52" s="109">
        <f t="shared" si="4"/>
        <v>0</v>
      </c>
      <c r="D52" s="122">
        <f t="shared" si="2"/>
        <v>0</v>
      </c>
      <c r="F52" s="114"/>
      <c r="I52" s="114"/>
      <c r="L52" s="114"/>
    </row>
    <row r="53" spans="1:12" ht="14.25" x14ac:dyDescent="0.2">
      <c r="A53" s="125">
        <f t="shared" si="3"/>
        <v>1.0000000000000002</v>
      </c>
      <c r="B53" s="109">
        <f t="shared" si="0"/>
        <v>6.4000000000000001E-2</v>
      </c>
      <c r="C53" s="109">
        <f t="shared" si="4"/>
        <v>0</v>
      </c>
      <c r="D53" s="122">
        <f t="shared" si="2"/>
        <v>0</v>
      </c>
      <c r="F53" s="114"/>
      <c r="I53" s="114"/>
      <c r="L53" s="114"/>
    </row>
    <row r="54" spans="1:12" ht="14.25" x14ac:dyDescent="0.2">
      <c r="A54" s="125">
        <f t="shared" si="3"/>
        <v>1.0500000000000003</v>
      </c>
      <c r="B54" s="109">
        <f t="shared" si="0"/>
        <v>6.4000000000000001E-2</v>
      </c>
      <c r="C54" s="109">
        <f t="shared" si="4"/>
        <v>0</v>
      </c>
      <c r="D54" s="122">
        <f t="shared" si="2"/>
        <v>0</v>
      </c>
      <c r="F54" s="114"/>
      <c r="I54" s="114"/>
      <c r="L54" s="114"/>
    </row>
    <row r="55" spans="1:12" ht="14.25" x14ac:dyDescent="0.2">
      <c r="A55" s="125">
        <f t="shared" si="3"/>
        <v>1.1000000000000003</v>
      </c>
      <c r="B55" s="109">
        <f t="shared" si="0"/>
        <v>6.4000000000000001E-2</v>
      </c>
      <c r="C55" s="109">
        <f t="shared" si="4"/>
        <v>0</v>
      </c>
      <c r="D55" s="122">
        <f t="shared" si="2"/>
        <v>0</v>
      </c>
      <c r="F55" s="114"/>
      <c r="I55" s="114"/>
      <c r="L55" s="114"/>
    </row>
    <row r="56" spans="1:12" ht="14.25" x14ac:dyDescent="0.2">
      <c r="A56" s="125">
        <f t="shared" si="3"/>
        <v>1.1500000000000004</v>
      </c>
      <c r="B56" s="109">
        <f t="shared" si="0"/>
        <v>6.4000000000000001E-2</v>
      </c>
      <c r="C56" s="109">
        <f t="shared" ref="C56:C68" si="5">IF(A56&lt;=1.5,0,IF(A56&lt;5.6,(0.1223*(A56-1.5)^2),IF(A56&lt;7,2.056,"VCOMP MUST BE &lt; 7")))</f>
        <v>0</v>
      </c>
      <c r="D56" s="122">
        <f t="shared" si="2"/>
        <v>0</v>
      </c>
      <c r="F56" s="114"/>
      <c r="I56" s="114"/>
      <c r="L56" s="114"/>
    </row>
    <row r="57" spans="1:12" ht="14.25" x14ac:dyDescent="0.2">
      <c r="A57" s="125">
        <f t="shared" si="3"/>
        <v>1.2000000000000004</v>
      </c>
      <c r="B57" s="109">
        <f t="shared" si="0"/>
        <v>6.4000000000000001E-2</v>
      </c>
      <c r="C57" s="109">
        <f t="shared" si="5"/>
        <v>0</v>
      </c>
      <c r="D57" s="122">
        <f t="shared" si="2"/>
        <v>0</v>
      </c>
      <c r="F57" s="114"/>
      <c r="I57" s="114"/>
      <c r="L57" s="114"/>
    </row>
    <row r="58" spans="1:12" ht="14.25" x14ac:dyDescent="0.2">
      <c r="A58" s="125">
        <f t="shared" si="3"/>
        <v>1.2500000000000004</v>
      </c>
      <c r="B58" s="109">
        <f t="shared" si="0"/>
        <v>6.4000000000000001E-2</v>
      </c>
      <c r="C58" s="109">
        <f t="shared" si="5"/>
        <v>0</v>
      </c>
      <c r="D58" s="122">
        <f t="shared" si="2"/>
        <v>0</v>
      </c>
      <c r="F58" s="114"/>
      <c r="I58" s="114"/>
      <c r="L58" s="114"/>
    </row>
    <row r="59" spans="1:12" ht="14.25" x14ac:dyDescent="0.2">
      <c r="A59" s="125">
        <f t="shared" si="3"/>
        <v>1.3000000000000005</v>
      </c>
      <c r="B59" s="109">
        <f t="shared" si="0"/>
        <v>6.4000000000000001E-2</v>
      </c>
      <c r="C59" s="109">
        <f t="shared" si="5"/>
        <v>0</v>
      </c>
      <c r="D59" s="122">
        <f t="shared" si="2"/>
        <v>0</v>
      </c>
      <c r="F59" s="114"/>
      <c r="I59" s="114"/>
      <c r="L59" s="114"/>
    </row>
    <row r="60" spans="1:12" ht="14.25" x14ac:dyDescent="0.2">
      <c r="A60" s="125">
        <f t="shared" si="3"/>
        <v>1.3500000000000005</v>
      </c>
      <c r="B60" s="109">
        <f t="shared" si="0"/>
        <v>6.4000000000000001E-2</v>
      </c>
      <c r="C60" s="109">
        <f t="shared" si="5"/>
        <v>0</v>
      </c>
      <c r="D60" s="122">
        <f t="shared" si="2"/>
        <v>0</v>
      </c>
      <c r="F60" s="114"/>
      <c r="I60" s="114"/>
      <c r="L60" s="114"/>
    </row>
    <row r="61" spans="1:12" ht="14.25" x14ac:dyDescent="0.2">
      <c r="A61" s="125">
        <f>A60+0.05</f>
        <v>1.4000000000000006</v>
      </c>
      <c r="B61" s="109">
        <f t="shared" si="0"/>
        <v>6.4000000000000001E-2</v>
      </c>
      <c r="C61" s="109">
        <f t="shared" si="5"/>
        <v>0</v>
      </c>
      <c r="D61" s="122">
        <f t="shared" si="2"/>
        <v>0</v>
      </c>
      <c r="F61" s="114"/>
      <c r="I61" s="114"/>
      <c r="L61" s="114"/>
    </row>
    <row r="62" spans="1:12" ht="14.25" x14ac:dyDescent="0.2">
      <c r="A62" s="125">
        <f t="shared" si="3"/>
        <v>1.4500000000000006</v>
      </c>
      <c r="B62" s="109">
        <f t="shared" si="0"/>
        <v>6.4000000000000001E-2</v>
      </c>
      <c r="C62" s="109">
        <f t="shared" si="5"/>
        <v>0</v>
      </c>
      <c r="D62" s="122">
        <f t="shared" si="2"/>
        <v>0</v>
      </c>
      <c r="F62" s="114"/>
      <c r="I62" s="114"/>
      <c r="L62" s="114"/>
    </row>
    <row r="63" spans="1:12" ht="14.25" x14ac:dyDescent="0.2">
      <c r="A63" s="125">
        <f t="shared" si="3"/>
        <v>1.5000000000000007</v>
      </c>
      <c r="B63" s="109">
        <f t="shared" si="0"/>
        <v>6.4000000000000001E-2</v>
      </c>
      <c r="C63" s="109">
        <f t="shared" si="5"/>
        <v>0</v>
      </c>
      <c r="D63" s="122">
        <f t="shared" si="2"/>
        <v>0</v>
      </c>
      <c r="F63" s="114"/>
      <c r="I63" s="114"/>
      <c r="J63" s="114"/>
      <c r="K63" s="114"/>
      <c r="L63" s="114"/>
    </row>
    <row r="64" spans="1:12" x14ac:dyDescent="0.2">
      <c r="A64" s="125">
        <f t="shared" si="3"/>
        <v>1.5500000000000007</v>
      </c>
      <c r="B64" s="109">
        <f t="shared" si="0"/>
        <v>6.4000000000000001E-2</v>
      </c>
      <c r="C64" s="109">
        <f t="shared" si="5"/>
        <v>3.0575000000000871E-4</v>
      </c>
      <c r="D64" s="122">
        <f t="shared" si="2"/>
        <v>1.9568000000000559E-5</v>
      </c>
    </row>
    <row r="65" spans="1:12" x14ac:dyDescent="0.2">
      <c r="A65" s="125">
        <f t="shared" si="3"/>
        <v>1.6000000000000008</v>
      </c>
      <c r="B65" s="109">
        <f t="shared" si="0"/>
        <v>6.4000000000000001E-2</v>
      </c>
      <c r="C65" s="109">
        <f t="shared" si="5"/>
        <v>1.2230000000000186E-3</v>
      </c>
      <c r="D65" s="122">
        <f t="shared" si="2"/>
        <v>7.8272000000001191E-5</v>
      </c>
    </row>
    <row r="66" spans="1:12" x14ac:dyDescent="0.2">
      <c r="A66" s="125">
        <f>A65+0.05</f>
        <v>1.6500000000000008</v>
      </c>
      <c r="B66" s="109">
        <f t="shared" si="0"/>
        <v>6.4000000000000001E-2</v>
      </c>
      <c r="C66" s="109">
        <f t="shared" si="5"/>
        <v>2.7517500000000293E-3</v>
      </c>
      <c r="D66" s="122">
        <f t="shared" si="2"/>
        <v>1.7611200000000189E-4</v>
      </c>
    </row>
    <row r="67" spans="1:12" x14ac:dyDescent="0.2">
      <c r="A67" s="125">
        <f t="shared" si="3"/>
        <v>1.7000000000000008</v>
      </c>
      <c r="B67" s="109">
        <f t="shared" si="0"/>
        <v>6.4000000000000001E-2</v>
      </c>
      <c r="C67" s="109">
        <f t="shared" si="5"/>
        <v>4.8920000000000421E-3</v>
      </c>
      <c r="D67" s="122">
        <f t="shared" si="2"/>
        <v>3.1308800000000271E-4</v>
      </c>
    </row>
    <row r="68" spans="1:12" ht="18.75" x14ac:dyDescent="0.2">
      <c r="A68" s="125">
        <f t="shared" si="3"/>
        <v>1.7500000000000009</v>
      </c>
      <c r="B68" s="109">
        <f t="shared" si="0"/>
        <v>6.4000000000000001E-2</v>
      </c>
      <c r="C68" s="109">
        <f t="shared" si="5"/>
        <v>7.643750000000055E-3</v>
      </c>
      <c r="D68" s="122">
        <f t="shared" si="2"/>
        <v>4.8920000000000354E-4</v>
      </c>
      <c r="G68" s="115" t="s">
        <v>399</v>
      </c>
      <c r="H68" s="115">
        <v>7</v>
      </c>
      <c r="J68"/>
      <c r="K68"/>
      <c r="L68"/>
    </row>
    <row r="69" spans="1:12" ht="18.75" x14ac:dyDescent="0.2">
      <c r="A69" s="125">
        <f t="shared" ref="A69:A85" si="6">A68+0.05</f>
        <v>1.8000000000000009</v>
      </c>
      <c r="B69" s="109">
        <f t="shared" si="0"/>
        <v>6.4000000000000001E-2</v>
      </c>
      <c r="C69" s="109">
        <f t="shared" ref="C69:C85" si="7">IF(A69&lt;=1.5,0,IF(A69&lt;5.6,(0.1223*(A69-1.5)^2),IF(A69&lt;7,2.056,"VCOMP MUST BE &lt; 7")))</f>
        <v>1.1007000000000071E-2</v>
      </c>
      <c r="D69" s="122">
        <f t="shared" si="2"/>
        <v>7.0444800000000454E-4</v>
      </c>
      <c r="G69" s="115" t="s">
        <v>400</v>
      </c>
      <c r="H69" s="115">
        <f>1/(fsw)</f>
        <v>1.5384615384615384E-5</v>
      </c>
      <c r="J69"/>
      <c r="K69"/>
      <c r="L69"/>
    </row>
    <row r="70" spans="1:12" ht="18.75" x14ac:dyDescent="0.2">
      <c r="A70" s="125">
        <f t="shared" si="6"/>
        <v>1.850000000000001</v>
      </c>
      <c r="B70" s="109">
        <f t="shared" si="0"/>
        <v>6.4000000000000001E-2</v>
      </c>
      <c r="C70" s="109">
        <f t="shared" si="7"/>
        <v>1.4981750000000084E-2</v>
      </c>
      <c r="D70" s="122">
        <f t="shared" si="2"/>
        <v>9.5883200000000538E-4</v>
      </c>
      <c r="G70" s="115" t="s">
        <v>401</v>
      </c>
      <c r="H70" s="115">
        <f>fsw</f>
        <v>65000</v>
      </c>
      <c r="J70"/>
      <c r="K70"/>
      <c r="L70"/>
    </row>
    <row r="71" spans="1:12" ht="18.75" x14ac:dyDescent="0.2">
      <c r="A71" s="125">
        <f t="shared" si="6"/>
        <v>1.900000000000001</v>
      </c>
      <c r="B71" s="109">
        <f t="shared" si="0"/>
        <v>6.4000000000000001E-2</v>
      </c>
      <c r="C71" s="109">
        <f t="shared" si="7"/>
        <v>1.9568000000000099E-2</v>
      </c>
      <c r="D71" s="122">
        <f t="shared" si="2"/>
        <v>1.2523520000000063E-3</v>
      </c>
      <c r="G71" s="115" t="s">
        <v>425</v>
      </c>
      <c r="H71" s="115">
        <f>42*uSiemens</f>
        <v>4.1999999999999998E-5</v>
      </c>
      <c r="J71"/>
      <c r="K71"/>
      <c r="L71"/>
    </row>
    <row r="72" spans="1:12" ht="15.75" x14ac:dyDescent="0.2">
      <c r="A72" s="125">
        <f t="shared" si="6"/>
        <v>1.9500000000000011</v>
      </c>
      <c r="B72" s="109">
        <f t="shared" si="0"/>
        <v>6.4000000000000001E-2</v>
      </c>
      <c r="C72" s="109">
        <f t="shared" si="7"/>
        <v>2.4765750000000118E-2</v>
      </c>
      <c r="D72" s="122">
        <f t="shared" si="2"/>
        <v>1.5850080000000075E-3</v>
      </c>
      <c r="G72" s="106" t="s">
        <v>426</v>
      </c>
      <c r="H72" s="115">
        <f>0.95*mSiemens</f>
        <v>9.5E-4</v>
      </c>
      <c r="J72"/>
      <c r="K72"/>
      <c r="L72"/>
    </row>
    <row r="73" spans="1:12" x14ac:dyDescent="0.2">
      <c r="A73" s="125">
        <f t="shared" si="6"/>
        <v>2.0000000000000009</v>
      </c>
      <c r="B73" s="109">
        <f t="shared" si="0"/>
        <v>6.400000000000014E-2</v>
      </c>
      <c r="C73" s="109">
        <f t="shared" si="7"/>
        <v>3.0575000000000109E-2</v>
      </c>
      <c r="D73" s="122">
        <f t="shared" si="2"/>
        <v>1.9568000000000111E-3</v>
      </c>
      <c r="J73"/>
      <c r="K73"/>
      <c r="L73"/>
    </row>
    <row r="74" spans="1:12" ht="14.25" x14ac:dyDescent="0.2">
      <c r="A74" s="125">
        <f t="shared" si="6"/>
        <v>2.0500000000000007</v>
      </c>
      <c r="B74" s="109">
        <f t="shared" si="0"/>
        <v>7.0950000000000152E-2</v>
      </c>
      <c r="C74" s="109">
        <f t="shared" si="7"/>
        <v>3.6995750000000098E-2</v>
      </c>
      <c r="D74" s="122">
        <f t="shared" si="2"/>
        <v>2.6248484625000126E-3</v>
      </c>
      <c r="G74" s="115" t="s">
        <v>166</v>
      </c>
      <c r="H74" s="115">
        <f>M1M2_calc</f>
        <v>9.5318061471133517E-2</v>
      </c>
      <c r="J74"/>
      <c r="K74"/>
      <c r="L74"/>
    </row>
    <row r="75" spans="1:12" ht="14.25" x14ac:dyDescent="0.2">
      <c r="A75" s="125">
        <f t="shared" si="6"/>
        <v>2.1000000000000005</v>
      </c>
      <c r="B75" s="109">
        <f t="shared" si="0"/>
        <v>7.7900000000000108E-2</v>
      </c>
      <c r="C75" s="109">
        <f t="shared" si="7"/>
        <v>4.4028000000000081E-2</v>
      </c>
      <c r="D75" s="122">
        <f t="shared" si="2"/>
        <v>3.4297812000000111E-3</v>
      </c>
      <c r="G75" s="210"/>
      <c r="H75" s="211"/>
      <c r="J75"/>
      <c r="K75"/>
      <c r="L75"/>
    </row>
    <row r="76" spans="1:12" ht="14.25" x14ac:dyDescent="0.2">
      <c r="A76" s="125">
        <f t="shared" si="6"/>
        <v>2.1500000000000004</v>
      </c>
      <c r="B76" s="109">
        <f t="shared" si="0"/>
        <v>8.4850000000000064E-2</v>
      </c>
      <c r="C76" s="109">
        <f t="shared" si="7"/>
        <v>5.1671750000000065E-2</v>
      </c>
      <c r="D76" s="122">
        <f t="shared" si="2"/>
        <v>4.3843479875000091E-3</v>
      </c>
      <c r="G76" s="115" t="s">
        <v>402</v>
      </c>
      <c r="H76" s="115">
        <f>11.3030795592389*SQRT(M1M2_calc)+1.5</f>
        <v>4.98967020266329</v>
      </c>
      <c r="J76"/>
      <c r="K76"/>
      <c r="L76"/>
    </row>
    <row r="77" spans="1:12" x14ac:dyDescent="0.2">
      <c r="A77" s="125">
        <f t="shared" si="6"/>
        <v>2.2000000000000002</v>
      </c>
      <c r="B77" s="109">
        <f t="shared" si="0"/>
        <v>9.1800000000000076E-2</v>
      </c>
      <c r="C77" s="109">
        <f t="shared" si="7"/>
        <v>5.9927000000000036E-2</v>
      </c>
      <c r="D77" s="122">
        <f t="shared" si="2"/>
        <v>5.501298600000008E-3</v>
      </c>
      <c r="F77"/>
      <c r="G77"/>
      <c r="H77"/>
      <c r="I77"/>
      <c r="J77"/>
      <c r="K77"/>
      <c r="L77"/>
    </row>
    <row r="78" spans="1:12" ht="18.75" x14ac:dyDescent="0.2">
      <c r="A78" s="125">
        <f t="shared" si="6"/>
        <v>2.25</v>
      </c>
      <c r="B78" s="109">
        <f t="shared" si="0"/>
        <v>9.8750000000000032E-2</v>
      </c>
      <c r="C78" s="109">
        <f t="shared" si="7"/>
        <v>6.8793750000000001E-2</v>
      </c>
      <c r="D78" s="122">
        <f t="shared" si="2"/>
        <v>6.7933828125000019E-3</v>
      </c>
      <c r="G78" s="115" t="s">
        <v>403</v>
      </c>
      <c r="H78" s="115">
        <v>1.7396155018431199E-4</v>
      </c>
      <c r="J78" s="124" t="s">
        <v>493</v>
      </c>
      <c r="K78"/>
      <c r="L78"/>
    </row>
    <row r="79" spans="1:12" ht="18.75" x14ac:dyDescent="0.2">
      <c r="A79" s="125">
        <f t="shared" si="6"/>
        <v>2.2999999999999998</v>
      </c>
      <c r="B79" s="109">
        <f t="shared" si="0"/>
        <v>0.10569999999999999</v>
      </c>
      <c r="C79" s="109">
        <f t="shared" si="7"/>
        <v>7.8271999999999967E-2</v>
      </c>
      <c r="D79" s="122">
        <f t="shared" si="2"/>
        <v>8.2733503999999954E-3</v>
      </c>
      <c r="G79" s="115" t="s">
        <v>404</v>
      </c>
      <c r="H79" s="115">
        <v>29.4122837461837</v>
      </c>
      <c r="J79"/>
      <c r="K79"/>
      <c r="L79"/>
    </row>
    <row r="80" spans="1:12" ht="18.75" x14ac:dyDescent="0.2">
      <c r="A80" s="125">
        <f t="shared" si="6"/>
        <v>2.3499999999999996</v>
      </c>
      <c r="B80" s="109">
        <f t="shared" si="0"/>
        <v>0.11265</v>
      </c>
      <c r="C80" s="109">
        <f t="shared" si="7"/>
        <v>8.8361749999999933E-2</v>
      </c>
      <c r="D80" s="122">
        <f t="shared" si="2"/>
        <v>9.9539511374999931E-3</v>
      </c>
      <c r="G80" s="115" t="s">
        <v>405</v>
      </c>
      <c r="H80" s="115">
        <v>865.08243516602499</v>
      </c>
      <c r="J80"/>
      <c r="K80"/>
      <c r="L80"/>
    </row>
    <row r="81" spans="1:12" ht="18.75" x14ac:dyDescent="0.2">
      <c r="A81" s="125">
        <f t="shared" si="6"/>
        <v>2.3999999999999995</v>
      </c>
      <c r="B81" s="109">
        <f t="shared" si="0"/>
        <v>0.11959999999999996</v>
      </c>
      <c r="C81" s="109">
        <f t="shared" si="7"/>
        <v>9.9062999999999887E-2</v>
      </c>
      <c r="D81" s="122">
        <f t="shared" si="2"/>
        <v>1.1847934799999982E-2</v>
      </c>
      <c r="G81" s="115" t="s">
        <v>406</v>
      </c>
      <c r="H81" s="115">
        <v>1.3497043459092801E-4</v>
      </c>
      <c r="J81"/>
      <c r="K81"/>
      <c r="L81"/>
    </row>
    <row r="82" spans="1:12" ht="18.75" x14ac:dyDescent="0.2">
      <c r="A82" s="125">
        <f t="shared" si="6"/>
        <v>2.4499999999999993</v>
      </c>
      <c r="B82" s="109">
        <f t="shared" si="0"/>
        <v>0.12654999999999991</v>
      </c>
      <c r="C82" s="109">
        <f t="shared" si="7"/>
        <v>0.11037574999999984</v>
      </c>
      <c r="D82" s="122">
        <f t="shared" si="2"/>
        <v>1.3968051162499971E-2</v>
      </c>
      <c r="G82" s="115" t="s">
        <v>444</v>
      </c>
      <c r="H82" s="123">
        <v>1.36240383007478E-33</v>
      </c>
      <c r="J82"/>
      <c r="K82"/>
      <c r="L82"/>
    </row>
    <row r="83" spans="1:12" ht="18.75" x14ac:dyDescent="0.2">
      <c r="A83" s="125">
        <f t="shared" si="6"/>
        <v>2.4999999999999991</v>
      </c>
      <c r="B83" s="109">
        <f t="shared" si="0"/>
        <v>0.13349999999999992</v>
      </c>
      <c r="C83" s="109">
        <f t="shared" si="7"/>
        <v>0.12229999999999978</v>
      </c>
      <c r="D83" s="122">
        <f t="shared" si="2"/>
        <v>1.6327049999999961E-2</v>
      </c>
      <c r="G83" s="115" t="s">
        <v>445</v>
      </c>
      <c r="H83" s="115">
        <v>2.2944568969153899E-6</v>
      </c>
      <c r="J83"/>
      <c r="K83"/>
      <c r="L83"/>
    </row>
    <row r="84" spans="1:12" ht="18.75" x14ac:dyDescent="0.2">
      <c r="A84" s="125">
        <f t="shared" si="6"/>
        <v>2.5499999999999989</v>
      </c>
      <c r="B84" s="109">
        <f t="shared" si="0"/>
        <v>0.14044999999999988</v>
      </c>
      <c r="C84" s="109">
        <f t="shared" si="7"/>
        <v>0.13483574999999973</v>
      </c>
      <c r="D84" s="122">
        <f t="shared" si="2"/>
        <v>1.8937681087499946E-2</v>
      </c>
      <c r="G84" s="115" t="s">
        <v>446</v>
      </c>
      <c r="H84" s="115">
        <v>1.51318944844124</v>
      </c>
      <c r="J84"/>
      <c r="K84"/>
      <c r="L84"/>
    </row>
    <row r="85" spans="1:12" ht="14.25" x14ac:dyDescent="0.2">
      <c r="A85" s="125">
        <f t="shared" si="6"/>
        <v>2.5999999999999988</v>
      </c>
      <c r="B85" s="109">
        <f t="shared" si="0"/>
        <v>0.14739999999999984</v>
      </c>
      <c r="C85" s="109">
        <f t="shared" si="7"/>
        <v>0.14798299999999967</v>
      </c>
      <c r="D85" s="122">
        <f t="shared" si="2"/>
        <v>2.1812694199999927E-2</v>
      </c>
      <c r="G85" s="115" t="s">
        <v>407</v>
      </c>
      <c r="H85" s="115">
        <f>(a_1/((b_1*M1M2_calc+SQRT(c_1*M1M2_calc^2+d_1*M1M2_calc-e_1)+f_1)^(1/3)))+((b_1*M1M2_calc+SQRT(c_1*M1M2_calc^2+d_1*M1M2_calc-e_1)+f_1)^(1/3))+g_1</f>
        <v>3.2898400889538726</v>
      </c>
      <c r="J85"/>
      <c r="K85"/>
      <c r="L85"/>
    </row>
    <row r="86" spans="1:12" x14ac:dyDescent="0.2">
      <c r="A86" s="125">
        <f t="shared" ref="A86:A128" si="8">A85+0.05</f>
        <v>2.6499999999999986</v>
      </c>
      <c r="B86" s="109">
        <f t="shared" si="0"/>
        <v>0.15434999999999985</v>
      </c>
      <c r="C86" s="109">
        <f t="shared" ref="C86:C128" si="9">IF(A86&lt;=1.5,0,IF(A86&lt;5.6,(0.1223*(A86-1.5)^2),IF(A86&lt;7,2.056,"VCOMP MUST BE &lt; 7")))</f>
        <v>0.1617417499999996</v>
      </c>
      <c r="D86" s="122">
        <f t="shared" si="2"/>
        <v>2.4964839112499915E-2</v>
      </c>
      <c r="J86"/>
      <c r="K86"/>
      <c r="L86"/>
    </row>
    <row r="87" spans="1:12" x14ac:dyDescent="0.2">
      <c r="A87" s="125">
        <f t="shared" si="8"/>
        <v>2.6999999999999984</v>
      </c>
      <c r="B87" s="109">
        <f t="shared" si="0"/>
        <v>0.1612999999999998</v>
      </c>
      <c r="C87" s="109">
        <f t="shared" si="9"/>
        <v>0.17611199999999955</v>
      </c>
      <c r="D87" s="122">
        <f t="shared" si="2"/>
        <v>2.8406865599999893E-2</v>
      </c>
      <c r="F87"/>
      <c r="G87"/>
      <c r="H87"/>
      <c r="J87"/>
      <c r="K87"/>
      <c r="L87"/>
    </row>
    <row r="88" spans="1:12" ht="18.75" x14ac:dyDescent="0.2">
      <c r="A88" s="125">
        <f t="shared" si="8"/>
        <v>2.7499999999999982</v>
      </c>
      <c r="B88" s="109">
        <f t="shared" si="0"/>
        <v>0.16824999999999982</v>
      </c>
      <c r="C88" s="109">
        <f t="shared" si="9"/>
        <v>0.19109374999999948</v>
      </c>
      <c r="D88" s="122">
        <f t="shared" si="2"/>
        <v>3.2151523437499878E-2</v>
      </c>
      <c r="G88" s="115" t="s">
        <v>408</v>
      </c>
      <c r="H88" s="115">
        <v>6.5064611765579095E-2</v>
      </c>
      <c r="J88"/>
      <c r="K88"/>
      <c r="L88"/>
    </row>
    <row r="89" spans="1:12" ht="18.75" x14ac:dyDescent="0.2">
      <c r="A89" s="125">
        <f t="shared" si="8"/>
        <v>2.799999999999998</v>
      </c>
      <c r="B89" s="109">
        <f t="shared" si="0"/>
        <v>0.17519999999999977</v>
      </c>
      <c r="C89" s="109">
        <f t="shared" si="9"/>
        <v>0.20668699999999937</v>
      </c>
      <c r="D89" s="122">
        <f t="shared" si="2"/>
        <v>3.6211562399999841E-2</v>
      </c>
      <c r="G89" s="115" t="s">
        <v>409</v>
      </c>
      <c r="H89" s="115">
        <v>14.653431687166799</v>
      </c>
      <c r="J89"/>
      <c r="K89"/>
      <c r="L89"/>
    </row>
    <row r="90" spans="1:12" ht="18.75" x14ac:dyDescent="0.2">
      <c r="A90" s="125">
        <f t="shared" si="8"/>
        <v>2.8499999999999979</v>
      </c>
      <c r="B90" s="109">
        <f t="shared" si="0"/>
        <v>0.18214999999999973</v>
      </c>
      <c r="C90" s="109">
        <f t="shared" si="9"/>
        <v>0.22289174999999931</v>
      </c>
      <c r="D90" s="122">
        <f t="shared" si="2"/>
        <v>4.0599732262499813E-2</v>
      </c>
      <c r="G90" s="115" t="s">
        <v>410</v>
      </c>
      <c r="H90" s="115">
        <v>214.72306021046401</v>
      </c>
      <c r="J90"/>
      <c r="K90"/>
      <c r="L90"/>
    </row>
    <row r="91" spans="1:12" ht="18.75" x14ac:dyDescent="0.2">
      <c r="A91" s="125">
        <f t="shared" si="8"/>
        <v>2.8999999999999977</v>
      </c>
      <c r="B91" s="109">
        <f t="shared" si="0"/>
        <v>0.18909999999999974</v>
      </c>
      <c r="C91" s="109">
        <f t="shared" si="9"/>
        <v>0.23970799999999923</v>
      </c>
      <c r="D91" s="122">
        <f t="shared" si="2"/>
        <v>4.5328782799999794E-2</v>
      </c>
      <c r="G91" s="115" t="s">
        <v>411</v>
      </c>
      <c r="H91" s="115">
        <v>0.486392202252173</v>
      </c>
      <c r="J91"/>
      <c r="K91"/>
      <c r="L91"/>
    </row>
    <row r="92" spans="1:12" ht="18.75" x14ac:dyDescent="0.2">
      <c r="A92" s="125">
        <f t="shared" si="8"/>
        <v>2.9499999999999975</v>
      </c>
      <c r="B92" s="109">
        <f t="shared" si="0"/>
        <v>0.1960499999999997</v>
      </c>
      <c r="C92" s="109">
        <f t="shared" si="9"/>
        <v>0.25713574999999916</v>
      </c>
      <c r="D92" s="122">
        <f t="shared" si="2"/>
        <v>5.0411463787499756E-2</v>
      </c>
      <c r="G92" s="115" t="s">
        <v>447</v>
      </c>
      <c r="H92" s="123">
        <v>5.3371370618859003E-30</v>
      </c>
      <c r="J92"/>
      <c r="K92"/>
      <c r="L92"/>
    </row>
    <row r="93" spans="1:12" ht="18.75" x14ac:dyDescent="0.2">
      <c r="A93" s="125">
        <f t="shared" si="8"/>
        <v>2.9999999999999973</v>
      </c>
      <c r="B93" s="109">
        <f t="shared" si="0"/>
        <v>0.20499999999999929</v>
      </c>
      <c r="C93" s="109">
        <f t="shared" si="9"/>
        <v>0.27517499999999906</v>
      </c>
      <c r="D93" s="122">
        <f t="shared" si="2"/>
        <v>5.6410874999999611E-2</v>
      </c>
      <c r="G93" s="115" t="s">
        <v>448</v>
      </c>
      <c r="H93" s="115">
        <v>1.6596528807587899E-2</v>
      </c>
      <c r="J93"/>
      <c r="K93"/>
      <c r="L93"/>
    </row>
    <row r="94" spans="1:12" ht="18.75" x14ac:dyDescent="0.2">
      <c r="A94" s="125">
        <f t="shared" si="8"/>
        <v>3.0499999999999972</v>
      </c>
      <c r="B94" s="109">
        <f t="shared" si="0"/>
        <v>0.21894999999999931</v>
      </c>
      <c r="C94" s="109">
        <f t="shared" si="9"/>
        <v>0.29382574999999889</v>
      </c>
      <c r="D94" s="122">
        <f t="shared" si="2"/>
        <v>6.4333147962499559E-2</v>
      </c>
      <c r="G94" s="115" t="s">
        <v>449</v>
      </c>
      <c r="H94" s="115">
        <v>1.75507765830346</v>
      </c>
      <c r="J94"/>
      <c r="K94"/>
      <c r="L94"/>
    </row>
    <row r="95" spans="1:12" ht="14.25" x14ac:dyDescent="0.2">
      <c r="A95" s="125">
        <f t="shared" si="8"/>
        <v>3.099999999999997</v>
      </c>
      <c r="B95" s="109">
        <f t="shared" si="0"/>
        <v>0.23289999999999922</v>
      </c>
      <c r="C95" s="109">
        <f t="shared" si="9"/>
        <v>0.31308799999999881</v>
      </c>
      <c r="D95" s="122">
        <f t="shared" si="2"/>
        <v>7.291819519999948E-2</v>
      </c>
      <c r="G95" s="115" t="s">
        <v>412</v>
      </c>
      <c r="H95" s="115">
        <f>(a_2/((b_2*M1M2_calc+SQRT(c_2*M1M2_calc^2+d_2*M1M2_calc-e_2)+f_2)^(1/3)))+((b_2*M1M2_calc+SQRT(c_2*M1M2_calc^2+d_2*M1M2_calc-e_2)+f_2)^(1/3))+g_2</f>
        <v>3.2149991750617071</v>
      </c>
      <c r="J95"/>
      <c r="K95"/>
      <c r="L95"/>
    </row>
    <row r="96" spans="1:12" x14ac:dyDescent="0.2">
      <c r="A96" s="125">
        <f t="shared" si="8"/>
        <v>3.1499999999999968</v>
      </c>
      <c r="B96" s="109">
        <f t="shared" si="0"/>
        <v>0.24684999999999924</v>
      </c>
      <c r="C96" s="109">
        <f t="shared" si="9"/>
        <v>0.33296174999999872</v>
      </c>
      <c r="D96" s="122">
        <f t="shared" si="2"/>
        <v>8.2191607987499429E-2</v>
      </c>
      <c r="G96"/>
      <c r="H96"/>
      <c r="J96"/>
      <c r="K96"/>
      <c r="L96"/>
    </row>
    <row r="97" spans="1:12" x14ac:dyDescent="0.2">
      <c r="A97" s="125">
        <f t="shared" si="8"/>
        <v>3.1999999999999966</v>
      </c>
      <c r="B97" s="109">
        <f t="shared" si="0"/>
        <v>0.26079999999999914</v>
      </c>
      <c r="C97" s="109">
        <f t="shared" si="9"/>
        <v>0.35344699999999862</v>
      </c>
      <c r="D97" s="122">
        <f t="shared" si="2"/>
        <v>9.2178977599999337E-2</v>
      </c>
      <c r="J97"/>
      <c r="K97"/>
      <c r="L97"/>
    </row>
    <row r="98" spans="1:12" ht="14.25" x14ac:dyDescent="0.2">
      <c r="A98" s="125">
        <f t="shared" si="8"/>
        <v>3.2499999999999964</v>
      </c>
      <c r="B98" s="109">
        <f t="shared" ref="B98:B161" si="10">IF(A98&lt;2,(0.064),IF(A98&lt;3,(0.139*A98-0.214),IF(A98&lt;5.5,(0.279*A98-0.632),IF(A98&lt;7,0.903,"VCOMP MUST BE &lt; 7"))))</f>
        <v>0.27474999999999905</v>
      </c>
      <c r="C98" s="109">
        <f t="shared" si="9"/>
        <v>0.37454374999999851</v>
      </c>
      <c r="D98" s="122">
        <f t="shared" ref="D98:D161" si="11">B98*C98</f>
        <v>0.10290589531249923</v>
      </c>
      <c r="G98" s="126"/>
      <c r="H98" s="127"/>
      <c r="J98"/>
      <c r="K98"/>
      <c r="L98"/>
    </row>
    <row r="99" spans="1:12" ht="18.75" x14ac:dyDescent="0.2">
      <c r="A99" s="125">
        <f t="shared" si="8"/>
        <v>3.2999999999999963</v>
      </c>
      <c r="B99" s="109">
        <f t="shared" si="10"/>
        <v>0.28869999999999907</v>
      </c>
      <c r="C99" s="109">
        <f t="shared" si="9"/>
        <v>0.39625199999999838</v>
      </c>
      <c r="D99" s="122">
        <f t="shared" si="11"/>
        <v>0.11439795239999917</v>
      </c>
      <c r="G99" s="115" t="s">
        <v>413</v>
      </c>
      <c r="H99" s="115">
        <v>3.00914348240785</v>
      </c>
      <c r="J99"/>
      <c r="K99"/>
      <c r="L99"/>
    </row>
    <row r="100" spans="1:12" ht="18.75" x14ac:dyDescent="0.2">
      <c r="A100" s="125">
        <f t="shared" si="8"/>
        <v>3.3499999999999961</v>
      </c>
      <c r="B100" s="109">
        <f t="shared" si="10"/>
        <v>0.30264999999999898</v>
      </c>
      <c r="C100" s="109">
        <f t="shared" si="9"/>
        <v>0.41857174999999824</v>
      </c>
      <c r="D100" s="122">
        <f t="shared" si="11"/>
        <v>0.12668074013749903</v>
      </c>
      <c r="G100" s="115" t="s">
        <v>414</v>
      </c>
      <c r="H100" s="115">
        <v>1.5</v>
      </c>
      <c r="J100"/>
      <c r="K100"/>
      <c r="L100"/>
    </row>
    <row r="101" spans="1:12" ht="14.25" x14ac:dyDescent="0.2">
      <c r="A101" s="125">
        <f t="shared" si="8"/>
        <v>3.3999999999999959</v>
      </c>
      <c r="B101" s="109">
        <f t="shared" si="10"/>
        <v>0.31659999999999899</v>
      </c>
      <c r="C101" s="109">
        <f t="shared" si="9"/>
        <v>0.44150299999999809</v>
      </c>
      <c r="D101" s="122">
        <f t="shared" si="11"/>
        <v>0.13977984979999894</v>
      </c>
      <c r="G101" s="115" t="s">
        <v>415</v>
      </c>
      <c r="H101" s="115">
        <f>a_3*SQRT(M1M2_calc)+b_3</f>
        <v>2.4290316228477655</v>
      </c>
      <c r="J101"/>
      <c r="K101"/>
      <c r="L101"/>
    </row>
    <row r="102" spans="1:12" x14ac:dyDescent="0.2">
      <c r="A102" s="125">
        <f t="shared" si="8"/>
        <v>3.4499999999999957</v>
      </c>
      <c r="B102" s="109">
        <f t="shared" si="10"/>
        <v>0.3305499999999989</v>
      </c>
      <c r="C102" s="109">
        <f t="shared" si="9"/>
        <v>0.46504574999999798</v>
      </c>
      <c r="D102" s="122">
        <f t="shared" si="11"/>
        <v>0.15372087266249881</v>
      </c>
      <c r="J102"/>
      <c r="K102"/>
      <c r="L102"/>
    </row>
    <row r="103" spans="1:12" x14ac:dyDescent="0.2">
      <c r="A103" s="125">
        <f t="shared" si="8"/>
        <v>3.4999999999999956</v>
      </c>
      <c r="B103" s="109">
        <f t="shared" si="10"/>
        <v>0.34449999999999881</v>
      </c>
      <c r="C103" s="109">
        <f t="shared" si="9"/>
        <v>0.48919999999999786</v>
      </c>
      <c r="D103" s="122">
        <f t="shared" si="11"/>
        <v>0.16852939999999869</v>
      </c>
      <c r="F103"/>
      <c r="G103"/>
      <c r="H103"/>
      <c r="J103"/>
      <c r="K103"/>
      <c r="L103"/>
    </row>
    <row r="104" spans="1:12" x14ac:dyDescent="0.2">
      <c r="A104" s="125">
        <f t="shared" si="8"/>
        <v>3.5499999999999954</v>
      </c>
      <c r="B104" s="109">
        <f t="shared" si="10"/>
        <v>0.35844999999999883</v>
      </c>
      <c r="C104" s="109">
        <f t="shared" si="9"/>
        <v>0.51396574999999767</v>
      </c>
      <c r="D104" s="122">
        <f t="shared" si="11"/>
        <v>0.18423102308749856</v>
      </c>
      <c r="F104"/>
      <c r="G104"/>
      <c r="H104"/>
      <c r="J104"/>
      <c r="K104"/>
      <c r="L104"/>
    </row>
    <row r="105" spans="1:12" x14ac:dyDescent="0.2">
      <c r="A105" s="125">
        <f t="shared" si="8"/>
        <v>3.5999999999999952</v>
      </c>
      <c r="B105" s="109">
        <f t="shared" si="10"/>
        <v>0.37239999999999884</v>
      </c>
      <c r="C105" s="109">
        <f t="shared" si="9"/>
        <v>0.53934299999999757</v>
      </c>
      <c r="D105" s="122">
        <f t="shared" si="11"/>
        <v>0.20085133319999848</v>
      </c>
      <c r="F105"/>
      <c r="G105" s="124" t="s">
        <v>167</v>
      </c>
      <c r="H105">
        <f>IF(VCOMP1&gt;=1.5,IF(VCOMP1&lt;2,VCOMP1,IF(VCOMP2&gt;=2,IF(VCOMP2&lt;3,VCOMP2,IF(VCOMP3&gt;=3,IF(VCOMP3&lt;5.5,VCOMP3,IF(VCOMP4&gt;=5.5,IF(VCOMP4&lt;5.6,VCOMP4,5.7))))))))</f>
        <v>3.2149991750617071</v>
      </c>
      <c r="J105"/>
      <c r="K105"/>
      <c r="L105"/>
    </row>
    <row r="106" spans="1:12" x14ac:dyDescent="0.2">
      <c r="A106" s="125">
        <f t="shared" si="8"/>
        <v>3.649999999999995</v>
      </c>
      <c r="B106" s="109">
        <f t="shared" si="10"/>
        <v>0.38634999999999875</v>
      </c>
      <c r="C106" s="109">
        <f t="shared" si="9"/>
        <v>0.56533174999999736</v>
      </c>
      <c r="D106" s="122">
        <f t="shared" si="11"/>
        <v>0.21841592161249826</v>
      </c>
      <c r="F106"/>
      <c r="G106"/>
      <c r="H106"/>
      <c r="J106"/>
      <c r="K106"/>
      <c r="L106"/>
    </row>
    <row r="107" spans="1:12" x14ac:dyDescent="0.2">
      <c r="A107" s="125">
        <f t="shared" si="8"/>
        <v>3.6999999999999948</v>
      </c>
      <c r="B107" s="109">
        <f t="shared" si="10"/>
        <v>0.40029999999999866</v>
      </c>
      <c r="C107" s="109">
        <f t="shared" si="9"/>
        <v>0.59193199999999735</v>
      </c>
      <c r="D107" s="122">
        <f t="shared" si="11"/>
        <v>0.23695037959999815</v>
      </c>
      <c r="F107"/>
      <c r="G107" s="124"/>
      <c r="H107"/>
      <c r="J107"/>
      <c r="K107"/>
      <c r="L107"/>
    </row>
    <row r="108" spans="1:12" x14ac:dyDescent="0.2">
      <c r="A108" s="125">
        <f t="shared" si="8"/>
        <v>3.7499999999999947</v>
      </c>
      <c r="B108" s="109">
        <f t="shared" si="10"/>
        <v>0.41424999999999856</v>
      </c>
      <c r="C108" s="109">
        <f t="shared" si="9"/>
        <v>0.61914374999999711</v>
      </c>
      <c r="D108" s="122">
        <f t="shared" si="11"/>
        <v>0.25648029843749792</v>
      </c>
      <c r="F108"/>
      <c r="G108"/>
      <c r="H108"/>
      <c r="J108"/>
      <c r="K108"/>
      <c r="L108"/>
    </row>
    <row r="109" spans="1:12" x14ac:dyDescent="0.2">
      <c r="A109" s="125">
        <f t="shared" si="8"/>
        <v>3.7999999999999945</v>
      </c>
      <c r="B109" s="109">
        <f t="shared" si="10"/>
        <v>0.42819999999999847</v>
      </c>
      <c r="C109" s="109">
        <f t="shared" si="9"/>
        <v>0.64696699999999685</v>
      </c>
      <c r="D109" s="122">
        <f t="shared" si="11"/>
        <v>0.27703126939999767</v>
      </c>
      <c r="F109"/>
      <c r="G109"/>
      <c r="H109"/>
      <c r="J109"/>
      <c r="K109"/>
      <c r="L109"/>
    </row>
    <row r="110" spans="1:12" x14ac:dyDescent="0.2">
      <c r="A110" s="125">
        <f t="shared" si="8"/>
        <v>3.8499999999999943</v>
      </c>
      <c r="B110" s="109">
        <f t="shared" si="10"/>
        <v>0.4421499999999986</v>
      </c>
      <c r="C110" s="109">
        <f t="shared" si="9"/>
        <v>0.6754017499999968</v>
      </c>
      <c r="D110" s="122">
        <f t="shared" si="11"/>
        <v>0.29862888376249763</v>
      </c>
      <c r="J110"/>
      <c r="K110"/>
      <c r="L110"/>
    </row>
    <row r="111" spans="1:12" x14ac:dyDescent="0.2">
      <c r="A111" s="125">
        <f t="shared" si="8"/>
        <v>3.8999999999999941</v>
      </c>
      <c r="B111" s="109">
        <f t="shared" si="10"/>
        <v>0.45609999999999851</v>
      </c>
      <c r="C111" s="109">
        <f t="shared" si="9"/>
        <v>0.70444799999999663</v>
      </c>
      <c r="D111" s="122">
        <f t="shared" si="11"/>
        <v>0.32129873279999743</v>
      </c>
      <c r="J111"/>
      <c r="K111"/>
      <c r="L111"/>
    </row>
    <row r="112" spans="1:12" x14ac:dyDescent="0.2">
      <c r="A112" s="125">
        <f t="shared" si="8"/>
        <v>3.949999999999994</v>
      </c>
      <c r="B112" s="109">
        <f t="shared" si="10"/>
        <v>0.47004999999999841</v>
      </c>
      <c r="C112" s="109">
        <f t="shared" si="9"/>
        <v>0.73410574999999634</v>
      </c>
      <c r="D112" s="122">
        <f t="shared" si="11"/>
        <v>0.34506640778749709</v>
      </c>
      <c r="J112"/>
      <c r="K112"/>
      <c r="L112"/>
    </row>
    <row r="113" spans="1:12" x14ac:dyDescent="0.2">
      <c r="A113" s="125">
        <f t="shared" si="8"/>
        <v>3.9999999999999938</v>
      </c>
      <c r="B113" s="109">
        <f t="shared" si="10"/>
        <v>0.48399999999999832</v>
      </c>
      <c r="C113" s="109">
        <f t="shared" si="9"/>
        <v>0.76437499999999625</v>
      </c>
      <c r="D113" s="122">
        <f t="shared" si="11"/>
        <v>0.36995749999999689</v>
      </c>
      <c r="J113"/>
      <c r="K113"/>
      <c r="L113"/>
    </row>
    <row r="114" spans="1:12" x14ac:dyDescent="0.2">
      <c r="A114" s="125">
        <f t="shared" si="8"/>
        <v>4.0499999999999936</v>
      </c>
      <c r="B114" s="109">
        <f t="shared" si="10"/>
        <v>0.49794999999999823</v>
      </c>
      <c r="C114" s="109">
        <f t="shared" si="9"/>
        <v>0.79525574999999604</v>
      </c>
      <c r="D114" s="122">
        <f t="shared" si="11"/>
        <v>0.39599760071249662</v>
      </c>
      <c r="J114"/>
      <c r="K114"/>
      <c r="L114"/>
    </row>
    <row r="115" spans="1:12" x14ac:dyDescent="0.2">
      <c r="A115" s="125">
        <f t="shared" si="8"/>
        <v>4.0999999999999934</v>
      </c>
      <c r="B115" s="109">
        <f t="shared" si="10"/>
        <v>0.51189999999999836</v>
      </c>
      <c r="C115" s="109">
        <f t="shared" si="9"/>
        <v>0.82674799999999593</v>
      </c>
      <c r="D115" s="122">
        <f t="shared" si="11"/>
        <v>0.42321230119999653</v>
      </c>
      <c r="J115"/>
      <c r="K115"/>
      <c r="L115"/>
    </row>
    <row r="116" spans="1:12" x14ac:dyDescent="0.2">
      <c r="A116" s="125">
        <f t="shared" si="8"/>
        <v>4.1499999999999932</v>
      </c>
      <c r="B116" s="109">
        <f t="shared" si="10"/>
        <v>0.52584999999999826</v>
      </c>
      <c r="C116" s="109">
        <f t="shared" si="9"/>
        <v>0.8588517499999957</v>
      </c>
      <c r="D116" s="122">
        <f t="shared" si="11"/>
        <v>0.45162719273749624</v>
      </c>
      <c r="J116"/>
      <c r="K116"/>
      <c r="L116"/>
    </row>
    <row r="117" spans="1:12" x14ac:dyDescent="0.2">
      <c r="A117" s="125">
        <f t="shared" si="8"/>
        <v>4.1999999999999931</v>
      </c>
      <c r="B117" s="109">
        <f t="shared" si="10"/>
        <v>0.53979999999999817</v>
      </c>
      <c r="C117" s="109">
        <f t="shared" si="9"/>
        <v>0.89156699999999545</v>
      </c>
      <c r="D117" s="122">
        <f t="shared" si="11"/>
        <v>0.48126786659999593</v>
      </c>
      <c r="J117"/>
      <c r="K117"/>
      <c r="L117"/>
    </row>
    <row r="118" spans="1:12" x14ac:dyDescent="0.2">
      <c r="A118" s="125">
        <f t="shared" si="8"/>
        <v>4.2499999999999929</v>
      </c>
      <c r="B118" s="109">
        <f t="shared" si="10"/>
        <v>0.55374999999999808</v>
      </c>
      <c r="C118" s="109">
        <f t="shared" si="9"/>
        <v>0.9248937499999953</v>
      </c>
      <c r="D118" s="122">
        <f t="shared" si="11"/>
        <v>0.51215991406249561</v>
      </c>
      <c r="J118"/>
      <c r="K118"/>
      <c r="L118"/>
    </row>
    <row r="119" spans="1:12" x14ac:dyDescent="0.2">
      <c r="A119" s="125">
        <f t="shared" si="8"/>
        <v>4.2999999999999927</v>
      </c>
      <c r="B119" s="109">
        <f t="shared" si="10"/>
        <v>0.56769999999999798</v>
      </c>
      <c r="C119" s="109">
        <f t="shared" si="9"/>
        <v>0.95883199999999502</v>
      </c>
      <c r="D119" s="122">
        <f t="shared" si="11"/>
        <v>0.54432892639999519</v>
      </c>
      <c r="J119"/>
      <c r="K119"/>
      <c r="L119"/>
    </row>
    <row r="120" spans="1:12" x14ac:dyDescent="0.2">
      <c r="A120" s="125">
        <f t="shared" si="8"/>
        <v>4.3499999999999925</v>
      </c>
      <c r="B120" s="109">
        <f t="shared" si="10"/>
        <v>0.58164999999999811</v>
      </c>
      <c r="C120" s="109">
        <f t="shared" si="9"/>
        <v>0.99338174999999485</v>
      </c>
      <c r="D120" s="122">
        <f t="shared" si="11"/>
        <v>0.57780049488749508</v>
      </c>
      <c r="J120"/>
      <c r="K120"/>
      <c r="L120"/>
    </row>
    <row r="121" spans="1:12" x14ac:dyDescent="0.2">
      <c r="A121" s="125">
        <f t="shared" si="8"/>
        <v>4.3999999999999924</v>
      </c>
      <c r="B121" s="109">
        <f t="shared" si="10"/>
        <v>0.59559999999999802</v>
      </c>
      <c r="C121" s="109">
        <f t="shared" si="9"/>
        <v>1.0285429999999947</v>
      </c>
      <c r="D121" s="122">
        <f t="shared" si="11"/>
        <v>0.61260021079999483</v>
      </c>
      <c r="J121"/>
      <c r="K121"/>
      <c r="L121"/>
    </row>
    <row r="122" spans="1:12" x14ac:dyDescent="0.2">
      <c r="A122" s="125">
        <f t="shared" si="8"/>
        <v>4.4499999999999922</v>
      </c>
      <c r="B122" s="109">
        <f t="shared" si="10"/>
        <v>0.60954999999999793</v>
      </c>
      <c r="C122" s="109">
        <f t="shared" si="9"/>
        <v>1.0643157499999945</v>
      </c>
      <c r="D122" s="122">
        <f t="shared" si="11"/>
        <v>0.64875366541249446</v>
      </c>
      <c r="J122"/>
      <c r="K122"/>
      <c r="L122"/>
    </row>
    <row r="123" spans="1:12" x14ac:dyDescent="0.2">
      <c r="A123" s="125">
        <f t="shared" si="8"/>
        <v>4.499999999999992</v>
      </c>
      <c r="B123" s="109">
        <f t="shared" si="10"/>
        <v>0.62349999999999783</v>
      </c>
      <c r="C123" s="109">
        <f t="shared" si="9"/>
        <v>1.1006999999999942</v>
      </c>
      <c r="D123" s="122">
        <f t="shared" si="11"/>
        <v>0.686286449999994</v>
      </c>
      <c r="J123"/>
      <c r="K123"/>
      <c r="L123"/>
    </row>
    <row r="124" spans="1:12" x14ac:dyDescent="0.2">
      <c r="A124" s="125">
        <f t="shared" si="8"/>
        <v>4.5499999999999918</v>
      </c>
      <c r="B124" s="109">
        <f t="shared" si="10"/>
        <v>0.63744999999999774</v>
      </c>
      <c r="C124" s="109">
        <f t="shared" si="9"/>
        <v>1.137695749999994</v>
      </c>
      <c r="D124" s="122">
        <f t="shared" si="11"/>
        <v>0.72522415583749367</v>
      </c>
      <c r="J124"/>
      <c r="K124"/>
      <c r="L124"/>
    </row>
    <row r="125" spans="1:12" x14ac:dyDescent="0.2">
      <c r="A125" s="125">
        <f t="shared" si="8"/>
        <v>4.5999999999999917</v>
      </c>
      <c r="B125" s="109">
        <f t="shared" si="10"/>
        <v>0.65139999999999787</v>
      </c>
      <c r="C125" s="109">
        <f t="shared" si="9"/>
        <v>1.1753029999999938</v>
      </c>
      <c r="D125" s="122">
        <f t="shared" si="11"/>
        <v>0.76559237419999349</v>
      </c>
      <c r="J125"/>
      <c r="K125"/>
      <c r="L125"/>
    </row>
    <row r="126" spans="1:12" x14ac:dyDescent="0.2">
      <c r="A126" s="125">
        <f t="shared" si="8"/>
        <v>4.6499999999999915</v>
      </c>
      <c r="B126" s="109">
        <f t="shared" si="10"/>
        <v>0.66534999999999778</v>
      </c>
      <c r="C126" s="109">
        <f t="shared" si="9"/>
        <v>1.2135217499999935</v>
      </c>
      <c r="D126" s="122">
        <f t="shared" si="11"/>
        <v>0.80741669636249302</v>
      </c>
      <c r="J126"/>
      <c r="K126"/>
      <c r="L126"/>
    </row>
    <row r="127" spans="1:12" x14ac:dyDescent="0.2">
      <c r="A127" s="125">
        <f t="shared" si="8"/>
        <v>4.6999999999999913</v>
      </c>
      <c r="B127" s="109">
        <f t="shared" si="10"/>
        <v>0.67929999999999768</v>
      </c>
      <c r="C127" s="109">
        <f t="shared" si="9"/>
        <v>1.2523519999999932</v>
      </c>
      <c r="D127" s="122">
        <f t="shared" si="11"/>
        <v>0.85072271359999252</v>
      </c>
      <c r="J127"/>
      <c r="K127"/>
      <c r="L127"/>
    </row>
    <row r="128" spans="1:12" x14ac:dyDescent="0.2">
      <c r="A128" s="125">
        <f t="shared" si="8"/>
        <v>4.7499999999999911</v>
      </c>
      <c r="B128" s="109">
        <f t="shared" si="10"/>
        <v>0.69324999999999759</v>
      </c>
      <c r="C128" s="109">
        <f t="shared" si="9"/>
        <v>1.2917937499999932</v>
      </c>
      <c r="D128" s="122">
        <f t="shared" si="11"/>
        <v>0.89553601718749221</v>
      </c>
      <c r="J128"/>
      <c r="K128"/>
      <c r="L128"/>
    </row>
    <row r="129" spans="1:12" x14ac:dyDescent="0.2">
      <c r="A129" s="125">
        <f t="shared" ref="A129:A174" si="12">A128+0.05</f>
        <v>4.7999999999999909</v>
      </c>
      <c r="B129" s="109">
        <f t="shared" si="10"/>
        <v>0.7071999999999975</v>
      </c>
      <c r="C129" s="109">
        <f t="shared" ref="C129:C174" si="13">IF(A129&lt;=1.5,0,IF(A129&lt;5.6,(0.1223*(A129-1.5)^2),IF(A129&lt;7,2.056,"VCOMP MUST BE &lt; 7")))</f>
        <v>1.3318469999999927</v>
      </c>
      <c r="D129" s="122">
        <f t="shared" si="11"/>
        <v>0.94188219839999143</v>
      </c>
      <c r="J129"/>
      <c r="K129"/>
      <c r="L129"/>
    </row>
    <row r="130" spans="1:12" x14ac:dyDescent="0.2">
      <c r="A130" s="125">
        <f t="shared" si="12"/>
        <v>4.8499999999999908</v>
      </c>
      <c r="B130" s="109">
        <f t="shared" si="10"/>
        <v>0.72114999999999763</v>
      </c>
      <c r="C130" s="109">
        <f t="shared" si="13"/>
        <v>1.3725117499999924</v>
      </c>
      <c r="D130" s="122">
        <f t="shared" si="11"/>
        <v>0.98978684851249121</v>
      </c>
      <c r="J130"/>
      <c r="K130"/>
      <c r="L130"/>
    </row>
    <row r="131" spans="1:12" x14ac:dyDescent="0.2">
      <c r="A131" s="125">
        <f t="shared" si="12"/>
        <v>4.8999999999999906</v>
      </c>
      <c r="B131" s="109">
        <f t="shared" si="10"/>
        <v>0.73509999999999753</v>
      </c>
      <c r="C131" s="109">
        <f t="shared" si="13"/>
        <v>1.4137879999999923</v>
      </c>
      <c r="D131" s="122">
        <f t="shared" si="11"/>
        <v>1.0392755587999909</v>
      </c>
      <c r="J131"/>
      <c r="K131"/>
      <c r="L131"/>
    </row>
    <row r="132" spans="1:12" x14ac:dyDescent="0.2">
      <c r="A132" s="125">
        <f t="shared" si="12"/>
        <v>4.9499999999999904</v>
      </c>
      <c r="B132" s="109">
        <f t="shared" si="10"/>
        <v>0.74904999999999744</v>
      </c>
      <c r="C132" s="109">
        <f t="shared" si="13"/>
        <v>1.4556757499999919</v>
      </c>
      <c r="D132" s="122">
        <f t="shared" si="11"/>
        <v>1.0903739205374903</v>
      </c>
      <c r="J132"/>
      <c r="K132"/>
      <c r="L132"/>
    </row>
    <row r="133" spans="1:12" x14ac:dyDescent="0.2">
      <c r="A133" s="125">
        <f t="shared" si="12"/>
        <v>4.9999999999999902</v>
      </c>
      <c r="B133" s="109">
        <f t="shared" si="10"/>
        <v>0.76299999999999735</v>
      </c>
      <c r="C133" s="109">
        <f t="shared" si="13"/>
        <v>1.4981749999999918</v>
      </c>
      <c r="D133" s="122">
        <f t="shared" si="11"/>
        <v>1.1431075249999898</v>
      </c>
      <c r="J133"/>
      <c r="K133"/>
      <c r="L133"/>
    </row>
    <row r="134" spans="1:12" x14ac:dyDescent="0.2">
      <c r="A134" s="125">
        <f t="shared" si="12"/>
        <v>5.0499999999999901</v>
      </c>
      <c r="B134" s="109">
        <f t="shared" si="10"/>
        <v>0.77694999999999725</v>
      </c>
      <c r="C134" s="109">
        <f t="shared" si="13"/>
        <v>1.5412857499999915</v>
      </c>
      <c r="D134" s="122">
        <f t="shared" si="11"/>
        <v>1.197501963462489</v>
      </c>
      <c r="J134"/>
      <c r="K134"/>
      <c r="L134"/>
    </row>
    <row r="135" spans="1:12" x14ac:dyDescent="0.2">
      <c r="A135" s="125">
        <f t="shared" si="12"/>
        <v>5.0999999999999899</v>
      </c>
      <c r="B135" s="109">
        <f t="shared" si="10"/>
        <v>0.79089999999999738</v>
      </c>
      <c r="C135" s="109">
        <f t="shared" si="13"/>
        <v>1.5850079999999911</v>
      </c>
      <c r="D135" s="122">
        <f t="shared" si="11"/>
        <v>1.2535828271999887</v>
      </c>
      <c r="J135"/>
      <c r="K135"/>
      <c r="L135"/>
    </row>
    <row r="136" spans="1:12" x14ac:dyDescent="0.2">
      <c r="A136" s="125">
        <f t="shared" si="12"/>
        <v>5.1499999999999897</v>
      </c>
      <c r="B136" s="109">
        <f t="shared" si="10"/>
        <v>0.80484999999999729</v>
      </c>
      <c r="C136" s="109">
        <f t="shared" si="13"/>
        <v>1.6293417499999909</v>
      </c>
      <c r="D136" s="122">
        <f t="shared" si="11"/>
        <v>1.3113757074874883</v>
      </c>
      <c r="J136"/>
      <c r="K136"/>
      <c r="L136"/>
    </row>
    <row r="137" spans="1:12" x14ac:dyDescent="0.2">
      <c r="A137" s="125">
        <f t="shared" si="12"/>
        <v>5.1999999999999895</v>
      </c>
      <c r="B137" s="109">
        <f t="shared" si="10"/>
        <v>0.8187999999999972</v>
      </c>
      <c r="C137" s="109">
        <f t="shared" si="13"/>
        <v>1.6742869999999908</v>
      </c>
      <c r="D137" s="122">
        <f t="shared" si="11"/>
        <v>1.3709061955999877</v>
      </c>
      <c r="J137"/>
      <c r="K137"/>
      <c r="L137"/>
    </row>
    <row r="138" spans="1:12" x14ac:dyDescent="0.2">
      <c r="A138" s="125">
        <f t="shared" si="12"/>
        <v>5.2499999999999893</v>
      </c>
      <c r="B138" s="109">
        <f t="shared" si="10"/>
        <v>0.8327499999999971</v>
      </c>
      <c r="C138" s="109">
        <f t="shared" si="13"/>
        <v>1.7198437499999903</v>
      </c>
      <c r="D138" s="122">
        <f t="shared" si="11"/>
        <v>1.4321998828124869</v>
      </c>
      <c r="J138"/>
      <c r="K138"/>
      <c r="L138"/>
    </row>
    <row r="139" spans="1:12" x14ac:dyDescent="0.2">
      <c r="A139" s="125">
        <f t="shared" si="12"/>
        <v>5.2999999999999892</v>
      </c>
      <c r="B139" s="109">
        <f t="shared" si="10"/>
        <v>0.84669999999999701</v>
      </c>
      <c r="C139" s="109">
        <f t="shared" si="13"/>
        <v>1.7660119999999899</v>
      </c>
      <c r="D139" s="122">
        <f t="shared" si="11"/>
        <v>1.4952823603999863</v>
      </c>
      <c r="J139"/>
      <c r="K139"/>
      <c r="L139"/>
    </row>
    <row r="140" spans="1:12" x14ac:dyDescent="0.2">
      <c r="A140" s="125">
        <f t="shared" si="12"/>
        <v>5.349999999999989</v>
      </c>
      <c r="B140" s="109">
        <f t="shared" si="10"/>
        <v>0.86064999999999714</v>
      </c>
      <c r="C140" s="109">
        <f t="shared" si="13"/>
        <v>1.8127917499999897</v>
      </c>
      <c r="D140" s="122">
        <f t="shared" si="11"/>
        <v>1.560179219637486</v>
      </c>
      <c r="J140"/>
      <c r="K140"/>
      <c r="L140"/>
    </row>
    <row r="141" spans="1:12" x14ac:dyDescent="0.2">
      <c r="A141" s="125">
        <f t="shared" si="12"/>
        <v>5.3999999999999888</v>
      </c>
      <c r="B141" s="109">
        <f t="shared" si="10"/>
        <v>0.87459999999999705</v>
      </c>
      <c r="C141" s="109">
        <f t="shared" si="13"/>
        <v>1.8601829999999893</v>
      </c>
      <c r="D141" s="122">
        <f t="shared" si="11"/>
        <v>1.6269160517999852</v>
      </c>
      <c r="J141"/>
      <c r="K141"/>
      <c r="L141"/>
    </row>
    <row r="142" spans="1:12" x14ac:dyDescent="0.2">
      <c r="A142" s="125">
        <f t="shared" si="12"/>
        <v>5.4499999999999886</v>
      </c>
      <c r="B142" s="109">
        <f t="shared" si="10"/>
        <v>0.88854999999999695</v>
      </c>
      <c r="C142" s="109">
        <f t="shared" si="13"/>
        <v>1.908185749999989</v>
      </c>
      <c r="D142" s="122">
        <f t="shared" si="11"/>
        <v>1.6955184481624845</v>
      </c>
      <c r="J142"/>
      <c r="K142"/>
      <c r="L142"/>
    </row>
    <row r="143" spans="1:12" x14ac:dyDescent="0.2">
      <c r="A143" s="125">
        <f t="shared" si="12"/>
        <v>5.4999999999999885</v>
      </c>
      <c r="B143" s="109">
        <f t="shared" si="10"/>
        <v>0.90249999999999686</v>
      </c>
      <c r="C143" s="109">
        <f t="shared" si="13"/>
        <v>1.9567999999999888</v>
      </c>
      <c r="D143" s="122">
        <f t="shared" si="11"/>
        <v>1.7660119999999837</v>
      </c>
      <c r="J143"/>
      <c r="K143"/>
      <c r="L143"/>
    </row>
    <row r="144" spans="1:12" x14ac:dyDescent="0.2">
      <c r="A144" s="125">
        <f t="shared" si="12"/>
        <v>5.5499999999999883</v>
      </c>
      <c r="B144" s="109">
        <f t="shared" si="10"/>
        <v>0.90300000000000002</v>
      </c>
      <c r="C144" s="109">
        <f t="shared" si="13"/>
        <v>2.0060257499999885</v>
      </c>
      <c r="D144" s="122">
        <f t="shared" si="11"/>
        <v>1.8114412522499896</v>
      </c>
      <c r="J144"/>
      <c r="K144"/>
      <c r="L144"/>
    </row>
    <row r="145" spans="1:12" x14ac:dyDescent="0.2">
      <c r="A145" s="125">
        <f t="shared" si="12"/>
        <v>5.5999999999999881</v>
      </c>
      <c r="B145" s="109">
        <f t="shared" si="10"/>
        <v>0.90300000000000002</v>
      </c>
      <c r="C145" s="109">
        <f t="shared" si="13"/>
        <v>2.055862999999988</v>
      </c>
      <c r="D145" s="122">
        <f t="shared" si="11"/>
        <v>1.8564442889999893</v>
      </c>
      <c r="J145"/>
      <c r="K145"/>
      <c r="L145"/>
    </row>
    <row r="146" spans="1:12" x14ac:dyDescent="0.2">
      <c r="A146" s="125">
        <f t="shared" si="12"/>
        <v>5.6499999999999879</v>
      </c>
      <c r="B146" s="109">
        <f t="shared" si="10"/>
        <v>0.90300000000000002</v>
      </c>
      <c r="C146" s="109">
        <f t="shared" si="13"/>
        <v>2.056</v>
      </c>
      <c r="D146" s="122">
        <f t="shared" si="11"/>
        <v>1.856568</v>
      </c>
      <c r="J146"/>
      <c r="K146"/>
      <c r="L146"/>
    </row>
    <row r="147" spans="1:12" x14ac:dyDescent="0.2">
      <c r="A147" s="125">
        <f t="shared" si="12"/>
        <v>5.6999999999999877</v>
      </c>
      <c r="B147" s="109">
        <f t="shared" si="10"/>
        <v>0.90300000000000002</v>
      </c>
      <c r="C147" s="109">
        <f t="shared" si="13"/>
        <v>2.056</v>
      </c>
      <c r="D147" s="122">
        <f t="shared" si="11"/>
        <v>1.856568</v>
      </c>
      <c r="J147"/>
      <c r="K147"/>
      <c r="L147"/>
    </row>
    <row r="148" spans="1:12" x14ac:dyDescent="0.2">
      <c r="A148" s="125">
        <f t="shared" si="12"/>
        <v>5.7499999999999876</v>
      </c>
      <c r="B148" s="109">
        <f t="shared" si="10"/>
        <v>0.90300000000000002</v>
      </c>
      <c r="C148" s="109">
        <f t="shared" si="13"/>
        <v>2.056</v>
      </c>
      <c r="D148" s="122">
        <f t="shared" si="11"/>
        <v>1.856568</v>
      </c>
      <c r="J148"/>
      <c r="K148"/>
      <c r="L148"/>
    </row>
    <row r="149" spans="1:12" x14ac:dyDescent="0.2">
      <c r="A149" s="125">
        <f t="shared" si="12"/>
        <v>5.7999999999999874</v>
      </c>
      <c r="B149" s="109">
        <f t="shared" si="10"/>
        <v>0.90300000000000002</v>
      </c>
      <c r="C149" s="109">
        <f t="shared" si="13"/>
        <v>2.056</v>
      </c>
      <c r="D149" s="122">
        <f t="shared" si="11"/>
        <v>1.856568</v>
      </c>
      <c r="J149"/>
      <c r="K149"/>
      <c r="L149"/>
    </row>
    <row r="150" spans="1:12" x14ac:dyDescent="0.2">
      <c r="A150" s="125">
        <f t="shared" si="12"/>
        <v>5.8499999999999872</v>
      </c>
      <c r="B150" s="109">
        <f t="shared" si="10"/>
        <v>0.90300000000000002</v>
      </c>
      <c r="C150" s="109">
        <f t="shared" si="13"/>
        <v>2.056</v>
      </c>
      <c r="D150" s="122">
        <f t="shared" si="11"/>
        <v>1.856568</v>
      </c>
      <c r="J150"/>
      <c r="K150"/>
      <c r="L150"/>
    </row>
    <row r="151" spans="1:12" x14ac:dyDescent="0.2">
      <c r="A151" s="125">
        <f t="shared" si="12"/>
        <v>5.899999999999987</v>
      </c>
      <c r="B151" s="109">
        <f t="shared" si="10"/>
        <v>0.90300000000000002</v>
      </c>
      <c r="C151" s="109">
        <f t="shared" si="13"/>
        <v>2.056</v>
      </c>
      <c r="D151" s="122">
        <f t="shared" si="11"/>
        <v>1.856568</v>
      </c>
      <c r="J151"/>
      <c r="K151"/>
      <c r="L151"/>
    </row>
    <row r="152" spans="1:12" x14ac:dyDescent="0.2">
      <c r="A152" s="125">
        <f t="shared" si="12"/>
        <v>5.9499999999999869</v>
      </c>
      <c r="B152" s="109">
        <f t="shared" si="10"/>
        <v>0.90300000000000002</v>
      </c>
      <c r="C152" s="109">
        <f t="shared" si="13"/>
        <v>2.056</v>
      </c>
      <c r="D152" s="122">
        <f t="shared" si="11"/>
        <v>1.856568</v>
      </c>
      <c r="J152"/>
      <c r="K152"/>
      <c r="L152"/>
    </row>
    <row r="153" spans="1:12" x14ac:dyDescent="0.2">
      <c r="A153" s="125">
        <f t="shared" si="12"/>
        <v>5.9999999999999867</v>
      </c>
      <c r="B153" s="109">
        <f t="shared" si="10"/>
        <v>0.90300000000000002</v>
      </c>
      <c r="C153" s="109">
        <f t="shared" si="13"/>
        <v>2.056</v>
      </c>
      <c r="D153" s="122">
        <f t="shared" si="11"/>
        <v>1.856568</v>
      </c>
      <c r="J153"/>
      <c r="K153"/>
      <c r="L153"/>
    </row>
    <row r="154" spans="1:12" x14ac:dyDescent="0.2">
      <c r="A154" s="125">
        <f t="shared" si="12"/>
        <v>6.0499999999999865</v>
      </c>
      <c r="B154" s="109">
        <f t="shared" si="10"/>
        <v>0.90300000000000002</v>
      </c>
      <c r="C154" s="109">
        <f t="shared" si="13"/>
        <v>2.056</v>
      </c>
      <c r="D154" s="122">
        <f t="shared" si="11"/>
        <v>1.856568</v>
      </c>
      <c r="J154"/>
      <c r="K154"/>
      <c r="L154"/>
    </row>
    <row r="155" spans="1:12" x14ac:dyDescent="0.2">
      <c r="A155" s="125">
        <f t="shared" si="12"/>
        <v>6.0999999999999863</v>
      </c>
      <c r="B155" s="109">
        <f t="shared" si="10"/>
        <v>0.90300000000000002</v>
      </c>
      <c r="C155" s="109">
        <f t="shared" si="13"/>
        <v>2.056</v>
      </c>
      <c r="D155" s="122">
        <f t="shared" si="11"/>
        <v>1.856568</v>
      </c>
      <c r="J155"/>
      <c r="K155"/>
      <c r="L155"/>
    </row>
    <row r="156" spans="1:12" x14ac:dyDescent="0.2">
      <c r="A156" s="125">
        <f t="shared" si="12"/>
        <v>6.1499999999999861</v>
      </c>
      <c r="B156" s="109">
        <f t="shared" si="10"/>
        <v>0.90300000000000002</v>
      </c>
      <c r="C156" s="109">
        <f t="shared" si="13"/>
        <v>2.056</v>
      </c>
      <c r="D156" s="122">
        <f t="shared" si="11"/>
        <v>1.856568</v>
      </c>
      <c r="J156"/>
      <c r="K156"/>
      <c r="L156"/>
    </row>
    <row r="157" spans="1:12" x14ac:dyDescent="0.2">
      <c r="A157" s="125">
        <f t="shared" si="12"/>
        <v>6.199999999999986</v>
      </c>
      <c r="B157" s="109">
        <f t="shared" si="10"/>
        <v>0.90300000000000002</v>
      </c>
      <c r="C157" s="109">
        <f t="shared" si="13"/>
        <v>2.056</v>
      </c>
      <c r="D157" s="122">
        <f t="shared" si="11"/>
        <v>1.856568</v>
      </c>
      <c r="J157"/>
      <c r="K157"/>
      <c r="L157"/>
    </row>
    <row r="158" spans="1:12" x14ac:dyDescent="0.2">
      <c r="A158" s="125">
        <f t="shared" si="12"/>
        <v>6.2499999999999858</v>
      </c>
      <c r="B158" s="109">
        <f t="shared" si="10"/>
        <v>0.90300000000000002</v>
      </c>
      <c r="C158" s="109">
        <f t="shared" si="13"/>
        <v>2.056</v>
      </c>
      <c r="D158" s="122">
        <f t="shared" si="11"/>
        <v>1.856568</v>
      </c>
      <c r="J158"/>
      <c r="K158"/>
      <c r="L158"/>
    </row>
    <row r="159" spans="1:12" x14ac:dyDescent="0.2">
      <c r="A159" s="125">
        <f t="shared" si="12"/>
        <v>6.2999999999999856</v>
      </c>
      <c r="B159" s="109">
        <f t="shared" si="10"/>
        <v>0.90300000000000002</v>
      </c>
      <c r="C159" s="109">
        <f t="shared" si="13"/>
        <v>2.056</v>
      </c>
      <c r="D159" s="122">
        <f t="shared" si="11"/>
        <v>1.856568</v>
      </c>
      <c r="J159"/>
      <c r="K159"/>
      <c r="L159"/>
    </row>
    <row r="160" spans="1:12" x14ac:dyDescent="0.2">
      <c r="A160" s="125">
        <f t="shared" si="12"/>
        <v>6.3499999999999854</v>
      </c>
      <c r="B160" s="109">
        <f t="shared" si="10"/>
        <v>0.90300000000000002</v>
      </c>
      <c r="C160" s="109">
        <f t="shared" si="13"/>
        <v>2.056</v>
      </c>
      <c r="D160" s="122">
        <f t="shared" si="11"/>
        <v>1.856568</v>
      </c>
      <c r="J160"/>
      <c r="K160"/>
      <c r="L160"/>
    </row>
    <row r="161" spans="1:12" x14ac:dyDescent="0.2">
      <c r="A161" s="125">
        <f t="shared" si="12"/>
        <v>6.3999999999999853</v>
      </c>
      <c r="B161" s="109">
        <f t="shared" si="10"/>
        <v>0.90300000000000002</v>
      </c>
      <c r="C161" s="109">
        <f t="shared" si="13"/>
        <v>2.056</v>
      </c>
      <c r="D161" s="122">
        <f t="shared" si="11"/>
        <v>1.856568</v>
      </c>
      <c r="J161"/>
      <c r="K161"/>
      <c r="L161"/>
    </row>
    <row r="162" spans="1:12" x14ac:dyDescent="0.2">
      <c r="A162" s="125">
        <f t="shared" si="12"/>
        <v>6.4499999999999851</v>
      </c>
      <c r="B162" s="109">
        <f t="shared" ref="B162:B174" si="14">IF(A162&lt;2,(0.064),IF(A162&lt;3,(0.139*A162-0.214),IF(A162&lt;5.5,(0.279*A162-0.632),IF(A162&lt;7,0.903,"VCOMP MUST BE &lt; 7"))))</f>
        <v>0.90300000000000002</v>
      </c>
      <c r="C162" s="109">
        <f t="shared" si="13"/>
        <v>2.056</v>
      </c>
      <c r="D162" s="122">
        <f t="shared" ref="D162:D173" si="15">B162*C162</f>
        <v>1.856568</v>
      </c>
      <c r="J162"/>
      <c r="K162"/>
      <c r="L162"/>
    </row>
    <row r="163" spans="1:12" x14ac:dyDescent="0.2">
      <c r="A163" s="125">
        <f t="shared" si="12"/>
        <v>6.4999999999999849</v>
      </c>
      <c r="B163" s="109">
        <f t="shared" si="14"/>
        <v>0.90300000000000002</v>
      </c>
      <c r="C163" s="109">
        <f t="shared" si="13"/>
        <v>2.056</v>
      </c>
      <c r="D163" s="122">
        <f t="shared" si="15"/>
        <v>1.856568</v>
      </c>
      <c r="J163"/>
      <c r="K163"/>
      <c r="L163"/>
    </row>
    <row r="164" spans="1:12" x14ac:dyDescent="0.2">
      <c r="A164" s="125">
        <f t="shared" si="12"/>
        <v>6.5499999999999847</v>
      </c>
      <c r="B164" s="109">
        <f t="shared" si="14"/>
        <v>0.90300000000000002</v>
      </c>
      <c r="C164" s="109">
        <f t="shared" si="13"/>
        <v>2.056</v>
      </c>
      <c r="D164" s="122">
        <f t="shared" si="15"/>
        <v>1.856568</v>
      </c>
      <c r="J164"/>
      <c r="K164"/>
      <c r="L164"/>
    </row>
    <row r="165" spans="1:12" x14ac:dyDescent="0.2">
      <c r="A165" s="125">
        <f t="shared" si="12"/>
        <v>6.5999999999999845</v>
      </c>
      <c r="B165" s="109">
        <f t="shared" si="14"/>
        <v>0.90300000000000002</v>
      </c>
      <c r="C165" s="109">
        <f t="shared" si="13"/>
        <v>2.056</v>
      </c>
      <c r="D165" s="122">
        <f t="shared" si="15"/>
        <v>1.856568</v>
      </c>
      <c r="J165"/>
      <c r="K165"/>
      <c r="L165"/>
    </row>
    <row r="166" spans="1:12" x14ac:dyDescent="0.2">
      <c r="A166" s="125">
        <f t="shared" si="12"/>
        <v>6.6499999999999844</v>
      </c>
      <c r="B166" s="109">
        <f t="shared" si="14"/>
        <v>0.90300000000000002</v>
      </c>
      <c r="C166" s="109">
        <f t="shared" si="13"/>
        <v>2.056</v>
      </c>
      <c r="D166" s="122">
        <f t="shared" si="15"/>
        <v>1.856568</v>
      </c>
      <c r="J166"/>
      <c r="K166"/>
      <c r="L166"/>
    </row>
    <row r="167" spans="1:12" x14ac:dyDescent="0.2">
      <c r="A167" s="125">
        <f t="shared" si="12"/>
        <v>6.6999999999999842</v>
      </c>
      <c r="B167" s="109">
        <f t="shared" si="14"/>
        <v>0.90300000000000002</v>
      </c>
      <c r="C167" s="109">
        <f t="shared" si="13"/>
        <v>2.056</v>
      </c>
      <c r="D167" s="122">
        <f t="shared" si="15"/>
        <v>1.856568</v>
      </c>
      <c r="J167"/>
      <c r="K167"/>
      <c r="L167"/>
    </row>
    <row r="168" spans="1:12" x14ac:dyDescent="0.2">
      <c r="A168" s="125">
        <f t="shared" si="12"/>
        <v>6.749999999999984</v>
      </c>
      <c r="B168" s="109">
        <f t="shared" si="14"/>
        <v>0.90300000000000002</v>
      </c>
      <c r="C168" s="109">
        <f t="shared" si="13"/>
        <v>2.056</v>
      </c>
      <c r="D168" s="122">
        <f t="shared" si="15"/>
        <v>1.856568</v>
      </c>
      <c r="J168"/>
      <c r="K168"/>
      <c r="L168"/>
    </row>
    <row r="169" spans="1:12" x14ac:dyDescent="0.2">
      <c r="A169" s="125">
        <f t="shared" si="12"/>
        <v>6.7999999999999838</v>
      </c>
      <c r="B169" s="109">
        <f t="shared" si="14"/>
        <v>0.90300000000000002</v>
      </c>
      <c r="C169" s="109">
        <f t="shared" si="13"/>
        <v>2.056</v>
      </c>
      <c r="D169" s="122">
        <f t="shared" si="15"/>
        <v>1.856568</v>
      </c>
      <c r="J169"/>
      <c r="K169"/>
      <c r="L169"/>
    </row>
    <row r="170" spans="1:12" x14ac:dyDescent="0.2">
      <c r="A170" s="125">
        <f t="shared" si="12"/>
        <v>6.8499999999999837</v>
      </c>
      <c r="B170" s="109">
        <f t="shared" si="14"/>
        <v>0.90300000000000002</v>
      </c>
      <c r="C170" s="109">
        <f t="shared" si="13"/>
        <v>2.056</v>
      </c>
      <c r="D170" s="122">
        <f t="shared" si="15"/>
        <v>1.856568</v>
      </c>
      <c r="J170"/>
      <c r="K170"/>
      <c r="L170"/>
    </row>
    <row r="171" spans="1:12" x14ac:dyDescent="0.2">
      <c r="A171" s="125">
        <f t="shared" si="12"/>
        <v>6.8999999999999835</v>
      </c>
      <c r="B171" s="109">
        <f t="shared" si="14"/>
        <v>0.90300000000000002</v>
      </c>
      <c r="C171" s="109">
        <f t="shared" si="13"/>
        <v>2.056</v>
      </c>
      <c r="D171" s="122">
        <f t="shared" si="15"/>
        <v>1.856568</v>
      </c>
      <c r="J171"/>
      <c r="K171"/>
      <c r="L171"/>
    </row>
    <row r="172" spans="1:12" x14ac:dyDescent="0.2">
      <c r="A172" s="125">
        <f t="shared" si="12"/>
        <v>6.9499999999999833</v>
      </c>
      <c r="B172" s="109">
        <f t="shared" si="14"/>
        <v>0.90300000000000002</v>
      </c>
      <c r="C172" s="109">
        <f t="shared" si="13"/>
        <v>2.056</v>
      </c>
      <c r="D172" s="122">
        <f t="shared" si="15"/>
        <v>1.856568</v>
      </c>
      <c r="J172"/>
      <c r="K172"/>
      <c r="L172"/>
    </row>
    <row r="173" spans="1:12" x14ac:dyDescent="0.2">
      <c r="A173" s="125">
        <f t="shared" si="12"/>
        <v>6.9999999999999831</v>
      </c>
      <c r="B173" s="109">
        <f t="shared" si="14"/>
        <v>0.90300000000000002</v>
      </c>
      <c r="C173" s="109">
        <f t="shared" si="13"/>
        <v>2.056</v>
      </c>
      <c r="D173" s="122">
        <f t="shared" si="15"/>
        <v>1.856568</v>
      </c>
      <c r="J173"/>
      <c r="K173"/>
      <c r="L173"/>
    </row>
    <row r="174" spans="1:12" x14ac:dyDescent="0.2">
      <c r="A174" s="125">
        <f t="shared" si="12"/>
        <v>7.0499999999999829</v>
      </c>
      <c r="B174" s="109" t="str">
        <f t="shared" si="14"/>
        <v>VCOMP MUST BE &lt; 7</v>
      </c>
      <c r="C174" s="109" t="str">
        <f t="shared" si="13"/>
        <v>VCOMP MUST BE &lt; 7</v>
      </c>
      <c r="D174" s="125"/>
      <c r="J174"/>
      <c r="K174"/>
      <c r="L174"/>
    </row>
    <row r="175" spans="1:12" x14ac:dyDescent="0.2">
      <c r="A175" s="125"/>
      <c r="B175" s="109"/>
      <c r="C175" s="109"/>
      <c r="D175" s="125"/>
      <c r="J175"/>
      <c r="K175"/>
      <c r="L175"/>
    </row>
    <row r="176" spans="1:12" x14ac:dyDescent="0.2">
      <c r="A176" s="125"/>
      <c r="B176" s="109"/>
      <c r="C176" s="109"/>
      <c r="D176" s="125"/>
    </row>
    <row r="177" spans="1:4" x14ac:dyDescent="0.2">
      <c r="A177" s="125"/>
      <c r="B177" s="109"/>
      <c r="C177" s="109"/>
      <c r="D177" s="125"/>
    </row>
    <row r="178" spans="1:4" x14ac:dyDescent="0.2">
      <c r="A178" s="125"/>
      <c r="B178" s="109"/>
      <c r="C178" s="109"/>
      <c r="D178" s="125"/>
    </row>
    <row r="179" spans="1:4" x14ac:dyDescent="0.2">
      <c r="A179" s="125"/>
      <c r="B179" s="109"/>
      <c r="C179" s="109"/>
      <c r="D179" s="125"/>
    </row>
    <row r="180" spans="1:4" x14ac:dyDescent="0.2">
      <c r="A180" s="125"/>
      <c r="B180" s="109"/>
      <c r="C180" s="109"/>
      <c r="D180" s="125"/>
    </row>
    <row r="181" spans="1:4" x14ac:dyDescent="0.2">
      <c r="A181" s="125"/>
      <c r="B181" s="109"/>
      <c r="C181" s="109"/>
      <c r="D181" s="125"/>
    </row>
    <row r="182" spans="1:4" x14ac:dyDescent="0.2">
      <c r="A182" s="125"/>
      <c r="B182" s="109"/>
      <c r="C182" s="109"/>
      <c r="D182" s="125"/>
    </row>
    <row r="183" spans="1:4" x14ac:dyDescent="0.2">
      <c r="A183" s="125"/>
      <c r="B183" s="109"/>
      <c r="C183" s="109"/>
      <c r="D183" s="125"/>
    </row>
    <row r="184" spans="1:4" x14ac:dyDescent="0.2">
      <c r="A184" s="125"/>
      <c r="B184" s="109"/>
      <c r="C184" s="109"/>
      <c r="D184" s="125"/>
    </row>
    <row r="185" spans="1:4" x14ac:dyDescent="0.2">
      <c r="A185" s="125"/>
      <c r="B185" s="109"/>
      <c r="C185" s="109"/>
      <c r="D185" s="125"/>
    </row>
    <row r="186" spans="1:4" x14ac:dyDescent="0.2">
      <c r="A186" s="125"/>
      <c r="B186" s="109"/>
      <c r="C186" s="109"/>
      <c r="D186" s="125"/>
    </row>
    <row r="187" spans="1:4" x14ac:dyDescent="0.2">
      <c r="A187" s="125"/>
      <c r="B187" s="109"/>
      <c r="C187" s="109"/>
      <c r="D187" s="125"/>
    </row>
    <row r="188" spans="1:4" x14ac:dyDescent="0.2">
      <c r="A188" s="125"/>
      <c r="B188" s="109"/>
      <c r="C188" s="109"/>
      <c r="D188" s="125"/>
    </row>
    <row r="189" spans="1:4" x14ac:dyDescent="0.2">
      <c r="A189" s="125"/>
      <c r="B189" s="109"/>
      <c r="C189" s="109"/>
      <c r="D189" s="125"/>
    </row>
    <row r="190" spans="1:4" x14ac:dyDescent="0.2">
      <c r="A190" s="125"/>
      <c r="B190" s="109"/>
      <c r="C190" s="109"/>
      <c r="D190" s="125"/>
    </row>
    <row r="191" spans="1:4" x14ac:dyDescent="0.2">
      <c r="A191" s="125"/>
      <c r="B191" s="109"/>
      <c r="C191" s="109"/>
      <c r="D191" s="125"/>
    </row>
    <row r="192" spans="1:4" x14ac:dyDescent="0.2">
      <c r="A192" s="125"/>
      <c r="B192" s="109"/>
      <c r="C192" s="109"/>
      <c r="D192" s="125"/>
    </row>
    <row r="193" spans="1:25" x14ac:dyDescent="0.2">
      <c r="A193" s="125"/>
      <c r="B193" s="109"/>
      <c r="C193" s="109"/>
      <c r="D193" s="125"/>
    </row>
    <row r="194" spans="1:25" x14ac:dyDescent="0.2">
      <c r="A194" s="125"/>
      <c r="B194" s="109"/>
      <c r="C194" s="109"/>
      <c r="D194" s="125"/>
    </row>
    <row r="195" spans="1:25" x14ac:dyDescent="0.2">
      <c r="A195" s="125"/>
      <c r="B195" s="109"/>
      <c r="C195" s="109"/>
      <c r="D195" s="125"/>
    </row>
    <row r="196" spans="1:25" x14ac:dyDescent="0.2">
      <c r="A196" s="125"/>
      <c r="B196" s="109"/>
      <c r="C196" s="109"/>
      <c r="D196" s="125"/>
    </row>
    <row r="197" spans="1:25" x14ac:dyDescent="0.2">
      <c r="A197" s="125"/>
      <c r="B197" s="109"/>
      <c r="C197" s="109"/>
      <c r="D197" s="125"/>
    </row>
    <row r="198" spans="1:25" x14ac:dyDescent="0.2">
      <c r="A198" s="125"/>
      <c r="B198" s="109"/>
      <c r="C198" s="109"/>
      <c r="D198" s="125"/>
    </row>
    <row r="201" spans="1:25" x14ac:dyDescent="0.2">
      <c r="A201" s="208" t="s">
        <v>178</v>
      </c>
      <c r="B201" s="208"/>
      <c r="C201" s="208"/>
      <c r="D201" s="208"/>
      <c r="E201" s="208"/>
      <c r="F201" s="208"/>
      <c r="G201" s="208" t="s">
        <v>199</v>
      </c>
      <c r="H201" s="208"/>
      <c r="I201" s="208"/>
      <c r="J201" s="208"/>
      <c r="K201" s="208"/>
      <c r="L201" s="208"/>
      <c r="M201" s="208"/>
      <c r="N201" s="208"/>
      <c r="O201" s="208"/>
      <c r="P201" s="108" t="s">
        <v>258</v>
      </c>
    </row>
    <row r="202" spans="1:25" x14ac:dyDescent="0.2">
      <c r="A202" s="209" t="s">
        <v>180</v>
      </c>
      <c r="G202" s="209" t="s">
        <v>180</v>
      </c>
      <c r="J202" s="125"/>
      <c r="K202" s="125"/>
      <c r="L202" s="125"/>
      <c r="O202" s="209" t="s">
        <v>211</v>
      </c>
      <c r="P202" s="208" t="s">
        <v>259</v>
      </c>
      <c r="Q202" s="208"/>
      <c r="R202" s="208" t="s">
        <v>265</v>
      </c>
      <c r="S202" s="208"/>
      <c r="T202" s="208"/>
    </row>
    <row r="203" spans="1:25" x14ac:dyDescent="0.2">
      <c r="A203" s="209"/>
      <c r="B203" s="108" t="s">
        <v>181</v>
      </c>
      <c r="C203" s="110" t="s">
        <v>182</v>
      </c>
      <c r="D203" s="208" t="s">
        <v>179</v>
      </c>
      <c r="E203" s="208"/>
      <c r="F203" s="108" t="s">
        <v>183</v>
      </c>
      <c r="G203" s="209"/>
      <c r="H203" s="108" t="s">
        <v>181</v>
      </c>
      <c r="I203" s="110" t="s">
        <v>182</v>
      </c>
      <c r="J203" s="108" t="s">
        <v>207</v>
      </c>
      <c r="K203" s="208" t="s">
        <v>208</v>
      </c>
      <c r="L203" s="208"/>
      <c r="M203" s="212" t="s">
        <v>210</v>
      </c>
      <c r="N203" s="212"/>
      <c r="O203" s="209"/>
      <c r="Q203" s="108" t="s">
        <v>209</v>
      </c>
      <c r="S203" s="108" t="s">
        <v>209</v>
      </c>
      <c r="T203" s="108" t="s">
        <v>266</v>
      </c>
    </row>
    <row r="204" spans="1:25" x14ac:dyDescent="0.2">
      <c r="A204" s="209"/>
      <c r="B204" s="108" t="s">
        <v>5</v>
      </c>
      <c r="C204" s="108" t="s">
        <v>239</v>
      </c>
      <c r="E204" s="108" t="s">
        <v>209</v>
      </c>
      <c r="F204" s="108" t="s">
        <v>240</v>
      </c>
      <c r="G204" s="209"/>
      <c r="H204" s="108" t="s">
        <v>5</v>
      </c>
      <c r="I204" s="108" t="s">
        <v>239</v>
      </c>
      <c r="J204" s="108" t="s">
        <v>241</v>
      </c>
      <c r="L204" s="111" t="s">
        <v>209</v>
      </c>
      <c r="N204" s="108" t="s">
        <v>209</v>
      </c>
      <c r="O204" s="108" t="s">
        <v>240</v>
      </c>
      <c r="W204" s="108" t="s">
        <v>262</v>
      </c>
      <c r="X204" s="108" t="s">
        <v>263</v>
      </c>
      <c r="Y204" s="108" t="s">
        <v>264</v>
      </c>
    </row>
    <row r="205" spans="1:25" x14ac:dyDescent="0.2">
      <c r="A205" s="108">
        <v>1</v>
      </c>
      <c r="B205" s="108">
        <f>10^A205</f>
        <v>10</v>
      </c>
      <c r="C205" s="108">
        <f t="shared" ref="C205:C236" si="16">2*PI()*B205</f>
        <v>62.831853071795862</v>
      </c>
      <c r="D205" s="108" t="str">
        <f t="shared" ref="D205:D236" si="17">IMDIV((7*Rsense*Vout_nom)/((1/(fsw/kHz)*kHz)*M1M2_calc*Lbst*mH),IMPRODUCT((COMPLEX(0,C205*1)),COMPLEX(1,(C205/(2*PI()*f_iavgactual*kHz)))))</f>
        <v>-1.73067189578712-990.561288307143i</v>
      </c>
      <c r="E205" s="108">
        <f t="shared" ref="E205:E236" si="18">20*LOG(IMABS(D205))</f>
        <v>59.917640287261953</v>
      </c>
      <c r="F205" s="108">
        <f t="shared" ref="F205:F236" si="19">180/PI()*IMARGUMENT(D205)</f>
        <v>-90.100104956273896</v>
      </c>
      <c r="G205" s="108">
        <v>-2</v>
      </c>
      <c r="H205" s="112">
        <f>10^G205</f>
        <v>0.01</v>
      </c>
      <c r="I205" s="112">
        <f>2*PI()*H205</f>
        <v>6.2831853071795868E-2</v>
      </c>
      <c r="J205" s="112">
        <f>(CALCULATIONS!$C$127*10^3)/((CALCULATIONS!$C$123*10^6)+(CALCULATIONS!$C$127*10^3))</f>
        <v>1.2782694198623401E-2</v>
      </c>
      <c r="K205" s="112" t="str">
        <f t="shared" ref="K205:K236" si="20">IMDIV((M_3*Vout_nom)/(M1M2_calc),COMPLEX(1,(I205/(2*PI()*fPWM_PSpole))))</f>
        <v>873.550541445308-6.52099586147264i</v>
      </c>
      <c r="L205" s="108">
        <f t="shared" ref="L205:L236" si="21">20*LOG(IMABS(K205))</f>
        <v>58.82600274952928</v>
      </c>
      <c r="M205" s="108" t="str">
        <f t="shared" ref="M205:M253" si="22">IMPRODUCT(J205,K205)</f>
        <v>11.1663294383373-0.0833558959676935i</v>
      </c>
      <c r="N205" s="108">
        <f t="shared" ref="N205:N236" si="23">20*LOG(IMABS(M205))</f>
        <v>20.958450737211152</v>
      </c>
      <c r="O205" s="108">
        <f t="shared" ref="O205:O236" si="24">180/PI()*IMARGUMENT(M205)</f>
        <v>-0.42770118438365284</v>
      </c>
      <c r="P205" s="108" t="str">
        <f>IMPRODUCT(42*10^-6,IMDIV((COMPLEX(1,I205*(CALCULATIONS!C267*10^3)*(CALCULATIONS!C265*10^-6))),IMPRODUCT((COMPLEX(0,data!I205*((CALCULATIONS!C265*10^-6)+(CALCULATIONS!C271*10^-6)))),(COMPLEX(1,I205*((CALCULATIONS!C267*10^3)*(CALCULATIONS!C265*10^-6)*(CALCULATIONS!C271*10^-6))/((CALCULATIONS!C265*10^-6)+(CALCULATIONS!C271*10^-6)))))))</f>
        <v>0.902591783100861-147.561308176585i</v>
      </c>
      <c r="Q205" s="108">
        <f t="shared" ref="Q205:Q236" si="25">20*LOG(IMABS(P205))</f>
        <v>43.379612419782354</v>
      </c>
      <c r="R205" s="108" t="str">
        <f t="shared" ref="R205:R265" si="26">IMPRODUCT((M205),(P205))</f>
        <v>-2.22146785478368-1647.79341579854i</v>
      </c>
      <c r="S205" s="108">
        <f t="shared" ref="S205:S236" si="27">20*LOG(IMABS(R205))</f>
        <v>64.338063156993513</v>
      </c>
      <c r="T205" s="108">
        <f t="shared" ref="T205:T236" si="28">(180/PI()*IMARGUMENT(R205))+180</f>
        <v>89.922756909894233</v>
      </c>
      <c r="W205" s="108" t="str">
        <f>COMPLEX(1,I205*(CALCULATIONS!C267*10^3)*(CALCULATIONS!C265*10^-6))</f>
        <v>1+0.00659734457253857i</v>
      </c>
      <c r="X205" s="108" t="str">
        <f>COMPLEX(0,data!I205*((CALCULATIONS!C265*10^-6)+(CALCULATIONS!C271*10^-6)))</f>
        <v>2.84628294415235E-07i</v>
      </c>
      <c r="Y205" s="108" t="str">
        <f>COMPLEX(1,I205*((CALCULATIONS!C267*10^3)*(CALCULATIONS!C265*10^-6)*(CALCULATIONS!C271*10^-6))/((CALCULATIONS!C265*10^-6)+(CALCULATIONS!C271*10^-6)))</f>
        <v>1+0.000480601260251154i</v>
      </c>
    </row>
    <row r="206" spans="1:25" x14ac:dyDescent="0.2">
      <c r="A206" s="108">
        <v>1.1000000000000001</v>
      </c>
      <c r="B206" s="108">
        <f t="shared" ref="B206:B265" si="29">10^A206</f>
        <v>12.58925411794168</v>
      </c>
      <c r="C206" s="108">
        <f t="shared" si="16"/>
        <v>79.100616502201262</v>
      </c>
      <c r="D206" s="108" t="str">
        <f t="shared" si="17"/>
        <v>-1.73066880580485-786.829394701028i</v>
      </c>
      <c r="E206" s="108">
        <f t="shared" si="18"/>
        <v>57.917632533259322</v>
      </c>
      <c r="F206" s="108">
        <f t="shared" si="19"/>
        <v>-90.126024598297207</v>
      </c>
      <c r="G206" s="108">
        <v>-1.9</v>
      </c>
      <c r="H206" s="112">
        <f t="shared" ref="H206:H265" si="30">10^G206</f>
        <v>1.2589254117941664E-2</v>
      </c>
      <c r="I206" s="112">
        <f t="shared" ref="I206:I265" si="31">2*PI()*H206</f>
        <v>7.9100616502201168E-2</v>
      </c>
      <c r="J206" s="112">
        <f>(CALCULATIONS!$C$127*10^3)/((CALCULATIONS!$C$123*10^6)+(CALCULATIONS!$C$127*10^3))</f>
        <v>1.2782694198623401E-2</v>
      </c>
      <c r="K206" s="112" t="str">
        <f t="shared" si="20"/>
        <v>873.52207206434-8.20917985085561i</v>
      </c>
      <c r="L206" s="108">
        <f t="shared" si="21"/>
        <v>58.825861208817543</v>
      </c>
      <c r="M206" s="108" t="str">
        <f t="shared" si="22"/>
        <v>11.1659655229463-0.104935435654988i</v>
      </c>
      <c r="N206" s="108">
        <f t="shared" si="23"/>
        <v>20.958309196499364</v>
      </c>
      <c r="O206" s="108">
        <f t="shared" si="24"/>
        <v>-0.53843804018409702</v>
      </c>
      <c r="P206" s="108" t="str">
        <f>IMPRODUCT(42*10^-6,IMDIV((COMPLEX(1,I206*(CALCULATIONS!C267*10^3)*(CALCULATIONS!C265*10^-6))),IMPRODUCT((COMPLEX(0,data!I206*((CALCULATIONS!C265*10^-6)+(CALCULATIONS!C271*10^-6)))),(COMPLEX(1,I206*((CALCULATIONS!C267*10^3)*(CALCULATIONS!C265*10^-6)*(CALCULATIONS!C271*10^-6))/((CALCULATIONS!C265*10^-6)+(CALCULATIONS!C271*10^-6)))))))</f>
        <v>0.902591661163273-117.212314973538i</v>
      </c>
      <c r="Q206" s="108">
        <f t="shared" si="25"/>
        <v>41.379722387144888</v>
      </c>
      <c r="R206" s="108" t="str">
        <f t="shared" si="26"/>
        <v>-2.22141796602995-1308.88338170843i</v>
      </c>
      <c r="S206" s="108">
        <f t="shared" si="27"/>
        <v>62.338031583644245</v>
      </c>
      <c r="T206" s="108">
        <f t="shared" si="28"/>
        <v>89.902758524127066</v>
      </c>
    </row>
    <row r="207" spans="1:25" x14ac:dyDescent="0.2">
      <c r="A207" s="108">
        <v>1.2</v>
      </c>
      <c r="B207" s="108">
        <f t="shared" si="29"/>
        <v>15.848931924611136</v>
      </c>
      <c r="C207" s="108">
        <f t="shared" si="16"/>
        <v>99.581776203206175</v>
      </c>
      <c r="D207" s="108" t="str">
        <f t="shared" si="17"/>
        <v>-1.7306639085356-624.99903555881i</v>
      </c>
      <c r="E207" s="108">
        <f t="shared" si="18"/>
        <v>55.917620244021712</v>
      </c>
      <c r="F207" s="108">
        <f t="shared" si="19"/>
        <v>-90.158655419658146</v>
      </c>
      <c r="G207" s="108">
        <v>-1.8</v>
      </c>
      <c r="H207" s="112">
        <f t="shared" si="30"/>
        <v>1.5848931924611124E-2</v>
      </c>
      <c r="I207" s="112">
        <f t="shared" si="31"/>
        <v>9.9581776203206102E-2</v>
      </c>
      <c r="J207" s="112">
        <f>(CALCULATIONS!$C$127*10^3)/((CALCULATIONS!$C$123*10^6)+(CALCULATIONS!$C$127*10^3))</f>
        <v>1.2782694198623401E-2</v>
      </c>
      <c r="K207" s="112" t="str">
        <f t="shared" si="20"/>
        <v>873.476954937166-10.3342113380507i</v>
      </c>
      <c r="L207" s="108">
        <f t="shared" si="21"/>
        <v>58.825636891355742</v>
      </c>
      <c r="M207" s="108" t="str">
        <f t="shared" si="22"/>
        <v>11.1653888045065-0.132099063318249i</v>
      </c>
      <c r="N207" s="108">
        <f t="shared" si="23"/>
        <v>20.958084879037557</v>
      </c>
      <c r="O207" s="108">
        <f t="shared" si="24"/>
        <v>-0.67784166078547647</v>
      </c>
      <c r="P207" s="108" t="str">
        <f>IMPRODUCT(42*10^-6,IMDIV((COMPLEX(1,I207*(CALCULATIONS!C267*10^3)*(CALCULATIONS!C265*10^-6))),IMPRODUCT((COMPLEX(0,data!I207*((CALCULATIONS!C265*10^-6)+(CALCULATIONS!C271*10^-6)))),(COMPLEX(1,I207*((CALCULATIONS!C267*10^3)*(CALCULATIONS!C265*10^-6)*(CALCULATIONS!C271*10^-6))/((CALCULATIONS!C265*10^-6)+(CALCULATIONS!C271*10^-6)))))))</f>
        <v>0.902591467905284-93.1053049596113i</v>
      </c>
      <c r="Q207" s="108">
        <f t="shared" si="25"/>
        <v>39.379896667904717</v>
      </c>
      <c r="R207" s="108" t="str">
        <f t="shared" si="26"/>
        <v>-2.22133890433183-1039.67616112368i</v>
      </c>
      <c r="S207" s="108">
        <f t="shared" si="27"/>
        <v>60.337981546942302</v>
      </c>
      <c r="T207" s="108">
        <f t="shared" si="28"/>
        <v>89.877583852374713</v>
      </c>
    </row>
    <row r="208" spans="1:25" x14ac:dyDescent="0.2">
      <c r="A208" s="108">
        <v>1.3</v>
      </c>
      <c r="B208" s="108">
        <f t="shared" si="29"/>
        <v>19.952623149688804</v>
      </c>
      <c r="C208" s="108">
        <f t="shared" si="16"/>
        <v>125.36602861381597</v>
      </c>
      <c r="D208" s="108" t="str">
        <f t="shared" si="17"/>
        <v>-1.73065614694368-496.452154146896i</v>
      </c>
      <c r="E208" s="108">
        <f t="shared" si="18"/>
        <v>53.917600766963872</v>
      </c>
      <c r="F208" s="108">
        <f t="shared" si="19"/>
        <v>-90.199735040938094</v>
      </c>
      <c r="G208" s="108">
        <v>-1.7</v>
      </c>
      <c r="H208" s="112">
        <f t="shared" si="30"/>
        <v>1.9952623149688792E-2</v>
      </c>
      <c r="I208" s="112">
        <f t="shared" si="31"/>
        <v>0.12536602861381591</v>
      </c>
      <c r="J208" s="112">
        <f>(CALCULATIONS!$C$127*10^3)/((CALCULATIONS!$C$123*10^6)+(CALCULATIONS!$C$127*10^3))</f>
        <v>1.2782694198623401E-2</v>
      </c>
      <c r="K208" s="112" t="str">
        <f t="shared" si="20"/>
        <v>873.405458655325-13.0089363630551i</v>
      </c>
      <c r="L208" s="108">
        <f t="shared" si="21"/>
        <v>58.82528139586897</v>
      </c>
      <c r="M208" s="108" t="str">
        <f t="shared" si="22"/>
        <v>11.1644748893994-0.166289255378285i</v>
      </c>
      <c r="N208" s="108">
        <f t="shared" si="23"/>
        <v>20.957729383550792</v>
      </c>
      <c r="O208" s="108">
        <f t="shared" si="24"/>
        <v>-0.85332880773497644</v>
      </c>
      <c r="P208" s="108" t="str">
        <f>IMPRODUCT(42*10^-6,IMDIV((COMPLEX(1,I208*(CALCULATIONS!C267*10^3)*(CALCULATIONS!C265*10^-6))),IMPRODUCT((COMPLEX(0,data!I208*((CALCULATIONS!C265*10^-6)+(CALCULATIONS!C271*10^-6)))),(COMPLEX(1,I208*((CALCULATIONS!C267*10^3)*(CALCULATIONS!C265*10^-6)*(CALCULATIONS!C271*10^-6))/((CALCULATIONS!C265*10^-6)+(CALCULATIONS!C271*10^-6)))))))</f>
        <v>0.902591161612199-73.9564919448197i</v>
      </c>
      <c r="Q208" s="108">
        <f t="shared" si="25"/>
        <v>37.380172869816455</v>
      </c>
      <c r="R208" s="108" t="str">
        <f t="shared" si="26"/>
        <v>-2.22121361668097-825.835488438184i</v>
      </c>
      <c r="S208" s="108">
        <f t="shared" si="27"/>
        <v>58.33790225336724</v>
      </c>
      <c r="T208" s="108">
        <f t="shared" si="28"/>
        <v>89.845894417805866</v>
      </c>
    </row>
    <row r="209" spans="1:20" x14ac:dyDescent="0.2">
      <c r="A209" s="108">
        <v>1.4</v>
      </c>
      <c r="B209" s="108">
        <f t="shared" si="29"/>
        <v>25.118864315095799</v>
      </c>
      <c r="C209" s="108">
        <f t="shared" si="16"/>
        <v>157.82647919764753</v>
      </c>
      <c r="D209" s="108" t="str">
        <f t="shared" si="17"/>
        <v>-1.73064384579207-394.343160297736i</v>
      </c>
      <c r="E209" s="108">
        <f t="shared" si="18"/>
        <v>51.91756989808642</v>
      </c>
      <c r="F209" s="108">
        <f t="shared" si="19"/>
        <v>-90.251450922904667</v>
      </c>
      <c r="G209" s="108">
        <v>-1.6</v>
      </c>
      <c r="H209" s="112">
        <f t="shared" si="30"/>
        <v>2.511886431509578E-2</v>
      </c>
      <c r="I209" s="112">
        <f t="shared" si="31"/>
        <v>0.15782647919764742</v>
      </c>
      <c r="J209" s="112">
        <f>(CALCULATIONS!$C$127*10^3)/((CALCULATIONS!$C$123*10^6)+(CALCULATIONS!$C$127*10^3))</f>
        <v>1.2782694198623401E-2</v>
      </c>
      <c r="K209" s="112" t="str">
        <f t="shared" si="20"/>
        <v>873.29216865681-16.3751562599913i</v>
      </c>
      <c r="L209" s="108">
        <f t="shared" si="21"/>
        <v>58.824718033092161</v>
      </c>
      <c r="M209" s="108" t="str">
        <f t="shared" si="22"/>
        <v>11.1630267379927-0.209318614926142i</v>
      </c>
      <c r="N209" s="108">
        <f t="shared" si="23"/>
        <v>20.957166020774039</v>
      </c>
      <c r="O209" s="108">
        <f t="shared" si="24"/>
        <v>-1.0742308684828938</v>
      </c>
      <c r="P209" s="108" t="str">
        <f>IMPRODUCT(42*10^-6,IMDIV((COMPLEX(1,I209*(CALCULATIONS!C267*10^3)*(CALCULATIONS!C265*10^-6))),IMPRODUCT((COMPLEX(0,data!I209*((CALCULATIONS!C265*10^-6)+(CALCULATIONS!C271*10^-6)))),(COMPLEX(1,I209*((CALCULATIONS!C267*10^3)*(CALCULATIONS!C265*10^-6)*(CALCULATIONS!C271*10^-6))/((CALCULATIONS!C265*10^-6)+(CALCULATIONS!C271*10^-6)))))))</f>
        <v>0.902590676170789-58.7461318094494i</v>
      </c>
      <c r="Q209" s="108">
        <f t="shared" si="25"/>
        <v>35.380610583983675</v>
      </c>
      <c r="R209" s="108" t="str">
        <f t="shared" si="26"/>
        <v>-2.22101509106509-655.973569172708i</v>
      </c>
      <c r="S209" s="108">
        <f t="shared" si="27"/>
        <v>56.337776604757714</v>
      </c>
      <c r="T209" s="108">
        <f t="shared" si="28"/>
        <v>89.806006963298401</v>
      </c>
    </row>
    <row r="210" spans="1:20" x14ac:dyDescent="0.2">
      <c r="A210" s="108">
        <v>1.5</v>
      </c>
      <c r="B210" s="108">
        <f t="shared" si="29"/>
        <v>31.622776601683803</v>
      </c>
      <c r="C210" s="108">
        <f t="shared" si="16"/>
        <v>198.69176531592208</v>
      </c>
      <c r="D210" s="108" t="str">
        <f t="shared" si="17"/>
        <v>-1.73062435013885-313.234377778874i</v>
      </c>
      <c r="E210" s="108">
        <f t="shared" si="18"/>
        <v>49.917520974662196</v>
      </c>
      <c r="F210" s="108">
        <f t="shared" si="19"/>
        <v>-90.316556767983272</v>
      </c>
      <c r="G210" s="108">
        <v>-1.5</v>
      </c>
      <c r="H210" s="112">
        <f t="shared" si="30"/>
        <v>3.1622776601683784E-2</v>
      </c>
      <c r="I210" s="112">
        <f t="shared" si="31"/>
        <v>0.19869176531592195</v>
      </c>
      <c r="J210" s="112">
        <f>(CALCULATIONS!$C$127*10^3)/((CALCULATIONS!$C$123*10^6)+(CALCULATIONS!$C$127*10^3))</f>
        <v>1.2782694198623401E-2</v>
      </c>
      <c r="K210" s="112" t="str">
        <f t="shared" si="20"/>
        <v>873.112676298866-20.6108632072053i</v>
      </c>
      <c r="L210" s="108">
        <f t="shared" si="21"/>
        <v>58.823825312929387</v>
      </c>
      <c r="M210" s="108" t="str">
        <f t="shared" si="22"/>
        <v>11.1607323420701-0.263462361547364i</v>
      </c>
      <c r="N210" s="108">
        <f t="shared" si="23"/>
        <v>20.956273300611251</v>
      </c>
      <c r="O210" s="108">
        <f t="shared" si="24"/>
        <v>-1.3522838728048163</v>
      </c>
      <c r="P210" s="108" t="str">
        <f>IMPRODUCT(42*10^-6,IMDIV((COMPLEX(1,I210*(CALCULATIONS!C267*10^3)*(CALCULATIONS!C265*10^-6))),IMPRODUCT((COMPLEX(0,data!I210*((CALCULATIONS!C265*10^-6)+(CALCULATIONS!C271*10^-6)))),(COMPLEX(1,I210*((CALCULATIONS!C267*10^3)*(CALCULATIONS!C265*10^-6)*(CALCULATIONS!C271*10^-6))/((CALCULATIONS!C265*10^-6)+(CALCULATIONS!C271*10^-6)))))))</f>
        <v>0.902589906799073-46.6642174110815i</v>
      </c>
      <c r="Q210" s="108">
        <f t="shared" si="25"/>
        <v>33.381304222868955</v>
      </c>
      <c r="R210" s="108" t="str">
        <f t="shared" si="26"/>
        <v>-2.2207005544447-521.044638945602i</v>
      </c>
      <c r="S210" s="108">
        <f t="shared" si="27"/>
        <v>54.337577523480206</v>
      </c>
      <c r="T210" s="108">
        <f t="shared" si="28"/>
        <v>89.755805953231544</v>
      </c>
    </row>
    <row r="211" spans="1:20" x14ac:dyDescent="0.2">
      <c r="A211" s="108">
        <v>1.6</v>
      </c>
      <c r="B211" s="108">
        <f t="shared" si="29"/>
        <v>39.810717055349755</v>
      </c>
      <c r="C211" s="108">
        <f t="shared" si="16"/>
        <v>250.13811247045734</v>
      </c>
      <c r="D211" s="108" t="str">
        <f t="shared" si="17"/>
        <v>-1.73059345251046-248.806468221023i</v>
      </c>
      <c r="E211" s="108">
        <f t="shared" si="18"/>
        <v>47.917443437389018</v>
      </c>
      <c r="F211" s="108">
        <f t="shared" si="19"/>
        <v>-90.398518987801594</v>
      </c>
      <c r="G211" s="108">
        <v>-1.4</v>
      </c>
      <c r="H211" s="112">
        <f t="shared" si="30"/>
        <v>3.9810717055349727E-2</v>
      </c>
      <c r="I211" s="112">
        <f t="shared" si="31"/>
        <v>0.25013811247045714</v>
      </c>
      <c r="J211" s="112">
        <f>(CALCULATIONS!$C$127*10^3)/((CALCULATIONS!$C$123*10^6)+(CALCULATIONS!$C$127*10^3))</f>
        <v>1.2782694198623401E-2</v>
      </c>
      <c r="K211" s="112" t="str">
        <f t="shared" si="20"/>
        <v>872.828351171894-25.9390897536933i</v>
      </c>
      <c r="L211" s="108">
        <f t="shared" si="21"/>
        <v>58.822410822601718</v>
      </c>
      <c r="M211" s="108" t="str">
        <f t="shared" si="22"/>
        <v>11.157097900919-0.331571452112107i</v>
      </c>
      <c r="N211" s="108">
        <f t="shared" si="23"/>
        <v>20.954858810283557</v>
      </c>
      <c r="O211" s="108">
        <f t="shared" si="24"/>
        <v>-1.7022396980581445</v>
      </c>
      <c r="P211" s="108" t="str">
        <f>IMPRODUCT(42*10^-6,IMDIV((COMPLEX(1,I211*(CALCULATIONS!C267*10^3)*(CALCULATIONS!C265*10^-6))),IMPRODUCT((COMPLEX(0,data!I211*((CALCULATIONS!C265*10^-6)+(CALCULATIONS!C271*10^-6)))),(COMPLEX(1,I211*((CALCULATIONS!C267*10^3)*(CALCULATIONS!C265*10^-6)*(CALCULATIONS!C271*10^-6))/((CALCULATIONS!C265*10^-6)+(CALCULATIONS!C271*10^-6)))))))</f>
        <v>0.902588687429759-37.0673427503796i</v>
      </c>
      <c r="Q211" s="108">
        <f t="shared" si="25"/>
        <v>31.38240333711358</v>
      </c>
      <c r="R211" s="108" t="str">
        <f t="shared" si="26"/>
        <v>-2.22020231176475-413.863244634656i</v>
      </c>
      <c r="S211" s="108">
        <f t="shared" si="27"/>
        <v>52.337262147397119</v>
      </c>
      <c r="T211" s="108">
        <f t="shared" si="28"/>
        <v>89.69263517960789</v>
      </c>
    </row>
    <row r="212" spans="1:20" x14ac:dyDescent="0.2">
      <c r="A212" s="108">
        <v>1.7</v>
      </c>
      <c r="B212" s="108">
        <f t="shared" si="29"/>
        <v>50.118723362727238</v>
      </c>
      <c r="C212" s="108">
        <f t="shared" si="16"/>
        <v>314.90522624728607</v>
      </c>
      <c r="D212" s="108" t="str">
        <f t="shared" si="17"/>
        <v>-1.7305444853294-197.628410631393i</v>
      </c>
      <c r="E212" s="108">
        <f t="shared" si="18"/>
        <v>45.917320551928199</v>
      </c>
      <c r="F212" s="108">
        <f t="shared" si="19"/>
        <v>-90.501700948817287</v>
      </c>
      <c r="G212" s="108">
        <v>-1.3</v>
      </c>
      <c r="H212" s="112">
        <f t="shared" si="30"/>
        <v>5.0118723362727206E-2</v>
      </c>
      <c r="I212" s="112">
        <f t="shared" si="31"/>
        <v>0.31490522624728584</v>
      </c>
      <c r="J212" s="112">
        <f>(CALCULATIONS!$C$127*10^3)/((CALCULATIONS!$C$123*10^6)+(CALCULATIONS!$C$127*10^3))</f>
        <v>1.2782694198623401E-2</v>
      </c>
      <c r="K212" s="112" t="str">
        <f t="shared" si="20"/>
        <v>872.378105335465-32.6385340721864i</v>
      </c>
      <c r="L212" s="108">
        <f t="shared" si="21"/>
        <v>58.82016994977122</v>
      </c>
      <c r="M212" s="108" t="str">
        <f t="shared" si="22"/>
        <v>11.1513425460777-0.417208400136109i</v>
      </c>
      <c r="N212" s="108">
        <f t="shared" si="23"/>
        <v>20.952617937453049</v>
      </c>
      <c r="O212" s="108">
        <f t="shared" si="24"/>
        <v>-2.1426242079895013</v>
      </c>
      <c r="P212" s="108" t="str">
        <f>IMPRODUCT(42*10^-6,IMDIV((COMPLEX(1,I212*(CALCULATIONS!C267*10^3)*(CALCULATIONS!C265*10^-6))),IMPRODUCT((COMPLEX(0,data!I212*((CALCULATIONS!C265*10^-6)+(CALCULATIONS!C271*10^-6)))),(COMPLEX(1,I212*((CALCULATIONS!C267*10^3)*(CALCULATIONS!C265*10^-6)*(CALCULATIONS!C271*10^-6))/((CALCULATIONS!C265*10^-6)+(CALCULATIONS!C271*10^-6)))))))</f>
        <v>0.902586754866392-29.4444392550827i</v>
      </c>
      <c r="Q212" s="108">
        <f t="shared" si="25"/>
        <v>29.384144740129109</v>
      </c>
      <c r="R212" s="108" t="str">
        <f t="shared" si="26"/>
        <v>-2.2194133134501-328.721594986586i</v>
      </c>
      <c r="S212" s="108">
        <f t="shared" si="27"/>
        <v>50.336762677582165</v>
      </c>
      <c r="T212" s="108">
        <f t="shared" si="28"/>
        <v>89.613164800806615</v>
      </c>
    </row>
    <row r="213" spans="1:20" x14ac:dyDescent="0.2">
      <c r="A213" s="108">
        <v>1.8</v>
      </c>
      <c r="B213" s="108">
        <f t="shared" si="29"/>
        <v>63.095734448019364</v>
      </c>
      <c r="C213" s="108">
        <f t="shared" si="16"/>
        <v>396.44219162950014</v>
      </c>
      <c r="D213" s="108" t="str">
        <f t="shared" si="17"/>
        <v>-1.73046688325345-156.974787078408i</v>
      </c>
      <c r="E213" s="108">
        <f t="shared" si="18"/>
        <v>43.917125798720008</v>
      </c>
      <c r="F213" s="108">
        <f t="shared" si="19"/>
        <v>-90.631594632403164</v>
      </c>
      <c r="G213" s="108">
        <v>-1.2</v>
      </c>
      <c r="H213" s="112">
        <f t="shared" si="30"/>
        <v>6.3095734448019317E-2</v>
      </c>
      <c r="I213" s="112">
        <f t="shared" si="31"/>
        <v>0.39644219162949984</v>
      </c>
      <c r="J213" s="112">
        <f>(CALCULATIONS!$C$127*10^3)/((CALCULATIONS!$C$123*10^6)+(CALCULATIONS!$C$127*10^3))</f>
        <v>1.2782694198623401E-2</v>
      </c>
      <c r="K213" s="112" t="str">
        <f t="shared" si="20"/>
        <v>871.66546450668-41.0559141792403i</v>
      </c>
      <c r="L213" s="108">
        <f t="shared" si="21"/>
        <v>58.816620772421558</v>
      </c>
      <c r="M213" s="108" t="str">
        <f t="shared" si="22"/>
        <v>11.1422330762899-0.524805195998155i</v>
      </c>
      <c r="N213" s="108">
        <f t="shared" si="23"/>
        <v>20.949068760103394</v>
      </c>
      <c r="O213" s="108">
        <f t="shared" si="24"/>
        <v>-2.6966691881180802</v>
      </c>
      <c r="P213" s="108" t="str">
        <f>IMPRODUCT(42*10^-6,IMDIV((COMPLEX(1,I213*(CALCULATIONS!C267*10^3)*(CALCULATIONS!C265*10^-6))),IMPRODUCT((COMPLEX(0,data!I213*((CALCULATIONS!C265*10^-6)+(CALCULATIONS!C271*10^-6)))),(COMPLEX(1,I213*((CALCULATIONS!C267*10^3)*(CALCULATIONS!C265*10^-6)*(CALCULATIONS!C271*10^-6))/((CALCULATIONS!C265*10^-6)+(CALCULATIONS!C271*10^-6)))))))</f>
        <v>0.902583691976816-23.3895595142195i</v>
      </c>
      <c r="Q213" s="108">
        <f t="shared" si="25"/>
        <v>27.386903233148875</v>
      </c>
      <c r="R213" s="108" t="str">
        <f t="shared" si="26"/>
        <v>-2.21816449830654-261.08560427056i</v>
      </c>
      <c r="S213" s="108">
        <f t="shared" si="27"/>
        <v>48.335971993252258</v>
      </c>
      <c r="T213" s="108">
        <f t="shared" si="28"/>
        <v>89.513230893553086</v>
      </c>
    </row>
    <row r="214" spans="1:20" x14ac:dyDescent="0.2">
      <c r="A214" s="108">
        <v>1.9</v>
      </c>
      <c r="B214" s="108">
        <f t="shared" si="29"/>
        <v>79.432823472428197</v>
      </c>
      <c r="C214" s="108">
        <f t="shared" si="16"/>
        <v>499.09114934975059</v>
      </c>
      <c r="D214" s="108" t="str">
        <f t="shared" si="17"/>
        <v>-1.73034390650681-124.680644375975i</v>
      </c>
      <c r="E214" s="108">
        <f t="shared" si="18"/>
        <v>41.916817153574506</v>
      </c>
      <c r="F214" s="108">
        <f t="shared" si="19"/>
        <v>-90.795111696356244</v>
      </c>
      <c r="G214" s="108">
        <v>-1.1000000000000001</v>
      </c>
      <c r="H214" s="112">
        <f t="shared" si="30"/>
        <v>7.9432823472428096E-2</v>
      </c>
      <c r="I214" s="112">
        <f t="shared" si="31"/>
        <v>0.49909114934974996</v>
      </c>
      <c r="J214" s="112">
        <f>(CALCULATIONS!$C$127*10^3)/((CALCULATIONS!$C$123*10^6)+(CALCULATIONS!$C$127*10^3))</f>
        <v>1.2782694198623401E-2</v>
      </c>
      <c r="K214" s="112" t="str">
        <f t="shared" si="20"/>
        <v>870.538386774513-51.6195023881209i</v>
      </c>
      <c r="L214" s="108">
        <f t="shared" si="21"/>
        <v>58.811001639991318</v>
      </c>
      <c r="M214" s="108" t="str">
        <f t="shared" si="22"/>
        <v>11.1278259863015-0.65983631371246i</v>
      </c>
      <c r="N214" s="108">
        <f t="shared" si="23"/>
        <v>20.943449627673125</v>
      </c>
      <c r="O214" s="108">
        <f t="shared" si="24"/>
        <v>-3.3934409556238205</v>
      </c>
      <c r="P214" s="108" t="str">
        <f>IMPRODUCT(42*10^-6,IMDIV((COMPLEX(1,I214*(CALCULATIONS!C267*10^3)*(CALCULATIONS!C265*10^-6))),IMPRODUCT((COMPLEX(0,data!I214*((CALCULATIONS!C265*10^-6)+(CALCULATIONS!C271*10^-6)))),(COMPLEX(1,I214*((CALCULATIONS!C267*10^3)*(CALCULATIONS!C265*10^-6)*(CALCULATIONS!C271*10^-6))/((CALCULATIONS!C265*10^-6)+(CALCULATIONS!C271*10^-6)))))))</f>
        <v>0.902578837666556-18.5802590967948i</v>
      </c>
      <c r="Q214" s="108">
        <f t="shared" si="25"/>
        <v>25.391271525835858</v>
      </c>
      <c r="R214" s="108" t="str">
        <f t="shared" si="26"/>
        <v>-2.21618942577978-207.353444302609i</v>
      </c>
      <c r="S214" s="108">
        <f t="shared" si="27"/>
        <v>46.334721153508987</v>
      </c>
      <c r="T214" s="108">
        <f t="shared" si="28"/>
        <v>89.387647181731566</v>
      </c>
    </row>
    <row r="215" spans="1:20" x14ac:dyDescent="0.2">
      <c r="A215" s="108">
        <v>2</v>
      </c>
      <c r="B215" s="108">
        <f t="shared" si="29"/>
        <v>100</v>
      </c>
      <c r="C215" s="108">
        <f t="shared" si="16"/>
        <v>628.31853071795865</v>
      </c>
      <c r="D215" s="108" t="str">
        <f t="shared" si="17"/>
        <v>-1.73014903729771-99.0262026858381i</v>
      </c>
      <c r="E215" s="108">
        <f t="shared" si="18"/>
        <v>39.916328028911224</v>
      </c>
      <c r="F215" s="108">
        <f t="shared" si="19"/>
        <v>-91.000948740482571</v>
      </c>
      <c r="G215" s="108">
        <v>-1</v>
      </c>
      <c r="H215" s="112">
        <f t="shared" si="30"/>
        <v>0.1</v>
      </c>
      <c r="I215" s="112">
        <f t="shared" si="31"/>
        <v>0.62831853071795862</v>
      </c>
      <c r="J215" s="112">
        <f>(CALCULATIONS!$C$127*10^3)/((CALCULATIONS!$C$123*10^6)+(CALCULATIONS!$C$127*10^3))</f>
        <v>1.2782694198623401E-2</v>
      </c>
      <c r="K215" s="112" t="str">
        <f t="shared" si="20"/>
        <v>868.758047099203-64.8522021448446i</v>
      </c>
      <c r="L215" s="108">
        <f t="shared" si="21"/>
        <v>58.802110780999371</v>
      </c>
      <c r="M215" s="108" t="str">
        <f t="shared" si="22"/>
        <v>11.1050684486624-0.828985868124857i</v>
      </c>
      <c r="N215" s="108">
        <f t="shared" si="23"/>
        <v>20.934558768681232</v>
      </c>
      <c r="O215" s="108">
        <f t="shared" si="24"/>
        <v>-4.2691730183660566</v>
      </c>
      <c r="P215" s="108" t="str">
        <f>IMPRODUCT(42*10^-6,IMDIV((COMPLEX(1,I215*(CALCULATIONS!C267*10^3)*(CALCULATIONS!C265*10^-6))),IMPRODUCT((COMPLEX(0,data!I215*((CALCULATIONS!C265*10^-6)+(CALCULATIONS!C271*10^-6)))),(COMPLEX(1,I215*((CALCULATIONS!C267*10^3)*(CALCULATIONS!C265*10^-6)*(CALCULATIONS!C271*10^-6))/((CALCULATIONS!C265*10^-6)+(CALCULATIONS!C271*10^-6)))))))</f>
        <v>0.902571144210229-14.7604252072774i</v>
      </c>
      <c r="Q215" s="108">
        <f t="shared" si="25"/>
        <v>23.398185719503498</v>
      </c>
      <c r="R215" s="108" t="str">
        <f t="shared" si="26"/>
        <v>-2.21306956810474-164.663750981705i</v>
      </c>
      <c r="S215" s="108">
        <f t="shared" si="27"/>
        <v>44.33274448818473</v>
      </c>
      <c r="T215" s="108">
        <f t="shared" si="28"/>
        <v>89.229994996364312</v>
      </c>
    </row>
    <row r="216" spans="1:20" x14ac:dyDescent="0.2">
      <c r="A216" s="108">
        <v>2.1</v>
      </c>
      <c r="B216" s="108">
        <f t="shared" si="29"/>
        <v>125.89254117941677</v>
      </c>
      <c r="C216" s="108">
        <f t="shared" si="16"/>
        <v>791.0061650220124</v>
      </c>
      <c r="D216" s="108" t="str">
        <f t="shared" si="17"/>
        <v>-1.72984028030638-78.6452714764189i</v>
      </c>
      <c r="E216" s="108">
        <f t="shared" si="18"/>
        <v>37.915552931385584</v>
      </c>
      <c r="F216" s="108">
        <f t="shared" si="19"/>
        <v>-91.260044837880656</v>
      </c>
      <c r="G216" s="108">
        <v>-0.9</v>
      </c>
      <c r="H216" s="112">
        <f t="shared" si="30"/>
        <v>0.12589254117941667</v>
      </c>
      <c r="I216" s="112">
        <f t="shared" si="31"/>
        <v>0.79100616502201182</v>
      </c>
      <c r="J216" s="112">
        <f>(CALCULATIONS!$C$127*10^3)/((CALCULATIONS!$C$123*10^6)+(CALCULATIONS!$C$127*10^3))</f>
        <v>1.2782694198623401E-2</v>
      </c>
      <c r="K216" s="112" t="str">
        <f t="shared" si="20"/>
        <v>865.95126695231-81.3803098951825i</v>
      </c>
      <c r="L216" s="108">
        <f t="shared" si="21"/>
        <v>58.788056896771302</v>
      </c>
      <c r="M216" s="108" t="str">
        <f t="shared" si="22"/>
        <v>11.0691902363619-1.04025961517932i</v>
      </c>
      <c r="N216" s="108">
        <f t="shared" si="23"/>
        <v>20.920504884453162</v>
      </c>
      <c r="O216" s="108">
        <f t="shared" si="24"/>
        <v>-5.3687705692198726</v>
      </c>
      <c r="P216" s="108" t="str">
        <f>IMPRODUCT(42*10^-6,IMDIV((COMPLEX(1,I216*(CALCULATIONS!C267*10^3)*(CALCULATIONS!C265*10^-6))),IMPRODUCT((COMPLEX(0,data!I216*((CALCULATIONS!C265*10^-6)+(CALCULATIONS!C271*10^-6)))),(COMPLEX(1,I216*((CALCULATIONS!C267*10^3)*(CALCULATIONS!C265*10^-6)*(CALCULATIONS!C271*10^-6))/((CALCULATIONS!C265*10^-6)+(CALCULATIONS!C271*10^-6)))))))</f>
        <v>0.902558951172329-11.7266377398076i</v>
      </c>
      <c r="Q216" s="108">
        <f t="shared" si="25"/>
        <v>21.409121238934539</v>
      </c>
      <c r="R216" s="108" t="str">
        <f t="shared" si="26"/>
        <v>-2.20815093250176-130.743279602054i</v>
      </c>
      <c r="S216" s="108">
        <f t="shared" si="27"/>
        <v>42.329626123387669</v>
      </c>
      <c r="T216" s="108">
        <f t="shared" si="28"/>
        <v>89.032411441206051</v>
      </c>
    </row>
    <row r="217" spans="1:20" x14ac:dyDescent="0.2">
      <c r="A217" s="108">
        <v>2.2000000000000002</v>
      </c>
      <c r="B217" s="108">
        <f t="shared" si="29"/>
        <v>158.48931924611153</v>
      </c>
      <c r="C217" s="108">
        <f t="shared" si="16"/>
        <v>995.81776203206277</v>
      </c>
      <c r="D217" s="108" t="str">
        <f t="shared" si="17"/>
        <v>-1.72935115912062-62.4524959041558i</v>
      </c>
      <c r="E217" s="108">
        <f t="shared" si="18"/>
        <v>35.914324767885006</v>
      </c>
      <c r="F217" s="108">
        <f t="shared" si="19"/>
        <v>-91.586152928141118</v>
      </c>
      <c r="G217" s="108">
        <v>-0.8</v>
      </c>
      <c r="H217" s="112">
        <f t="shared" si="30"/>
        <v>0.15848931924611132</v>
      </c>
      <c r="I217" s="112">
        <f t="shared" si="31"/>
        <v>0.9958177620320614</v>
      </c>
      <c r="J217" s="112">
        <f>(CALCULATIONS!$C$127*10^3)/((CALCULATIONS!$C$123*10^6)+(CALCULATIONS!$C$127*10^3))</f>
        <v>1.2782694198623401E-2</v>
      </c>
      <c r="K217" s="112" t="str">
        <f t="shared" si="20"/>
        <v>861.539781096271-101.929811927634i</v>
      </c>
      <c r="L217" s="108">
        <f t="shared" si="21"/>
        <v>58.765875732577413</v>
      </c>
      <c r="M217" s="108" t="str">
        <f t="shared" si="22"/>
        <v>11.0127995617026-1.30293761559414i</v>
      </c>
      <c r="N217" s="108">
        <f t="shared" si="23"/>
        <v>20.898323720259278</v>
      </c>
      <c r="O217" s="108">
        <f t="shared" si="24"/>
        <v>-6.7473673400285579</v>
      </c>
      <c r="P217" s="108" t="str">
        <f>IMPRODUCT(42*10^-6,IMDIV((COMPLEX(1,I217*(CALCULATIONS!C267*10^3)*(CALCULATIONS!C265*10^-6))),IMPRODUCT((COMPLEX(0,data!I217*((CALCULATIONS!C265*10^-6)+(CALCULATIONS!C271*10^-6)))),(COMPLEX(1,I217*((CALCULATIONS!C267*10^3)*(CALCULATIONS!C265*10^-6)*(CALCULATIONS!C271*10^-6))/((CALCULATIONS!C265*10^-6)+(CALCULATIONS!C271*10^-6)))))))</f>
        <v>0.902539627184357-9.31733640479216i</v>
      </c>
      <c r="Q217" s="108">
        <f t="shared" si="25"/>
        <v>19.426396060196353</v>
      </c>
      <c r="R217" s="108" t="str">
        <f t="shared" si="26"/>
        <v>-2.20042006827326-103.785911104754i</v>
      </c>
      <c r="S217" s="108">
        <f t="shared" si="27"/>
        <v>40.324719780455666</v>
      </c>
      <c r="T217" s="108">
        <f t="shared" si="28"/>
        <v>88.785423797795474</v>
      </c>
    </row>
    <row r="218" spans="1:20" x14ac:dyDescent="0.2">
      <c r="A218" s="108">
        <v>2.2999999999999998</v>
      </c>
      <c r="B218" s="108">
        <f t="shared" si="29"/>
        <v>199.52623149688802</v>
      </c>
      <c r="C218" s="108">
        <f t="shared" si="16"/>
        <v>1253.6602861381596</v>
      </c>
      <c r="D218" s="108" t="str">
        <f t="shared" si="17"/>
        <v>-1.72857652062008-49.5855597187853i</v>
      </c>
      <c r="E218" s="108">
        <f t="shared" si="18"/>
        <v>33.912378971078134</v>
      </c>
      <c r="F218" s="108">
        <f t="shared" si="19"/>
        <v>-91.996549990972966</v>
      </c>
      <c r="G218" s="108">
        <v>-0.7</v>
      </c>
      <c r="H218" s="112">
        <f t="shared" si="30"/>
        <v>0.19952623149688795</v>
      </c>
      <c r="I218" s="112">
        <f t="shared" si="31"/>
        <v>1.2536602861381592</v>
      </c>
      <c r="J218" s="112">
        <f>(CALCULATIONS!$C$127*10^3)/((CALCULATIONS!$C$123*10^6)+(CALCULATIONS!$C$127*10^3))</f>
        <v>1.2782694198623401E-2</v>
      </c>
      <c r="K218" s="112" t="str">
        <f t="shared" si="20"/>
        <v>854.639379936734-127.294250302429i</v>
      </c>
      <c r="L218" s="108">
        <f t="shared" si="21"/>
        <v>58.730951380105694</v>
      </c>
      <c r="M218" s="108" t="str">
        <f t="shared" si="22"/>
        <v>10.9245938438324-1.62716347485897i</v>
      </c>
      <c r="N218" s="108">
        <f t="shared" si="23"/>
        <v>20.863399367787547</v>
      </c>
      <c r="O218" s="108">
        <f t="shared" si="24"/>
        <v>-8.4716387670097202</v>
      </c>
      <c r="P218" s="108" t="str">
        <f>IMPRODUCT(42*10^-6,IMDIV((COMPLEX(1,I218*(CALCULATIONS!C267*10^3)*(CALCULATIONS!C265*10^-6))),IMPRODUCT((COMPLEX(0,data!I218*((CALCULATIONS!C265*10^-6)+(CALCULATIONS!C271*10^-6)))),(COMPLEX(1,I218*((CALCULATIONS!C267*10^3)*(CALCULATIONS!C265*10^-6)*(CALCULATIONS!C271*10^-6))/((CALCULATIONS!C265*10^-6)+(CALCULATIONS!C271*10^-6)))))))</f>
        <v>0.90250900242229-7.40421703242043i</v>
      </c>
      <c r="Q218" s="108">
        <f t="shared" si="25"/>
        <v>17.453633325288646</v>
      </c>
      <c r="R218" s="108" t="str">
        <f t="shared" si="26"/>
        <v>-2.18832722321733-82.3565934952522i</v>
      </c>
      <c r="S218" s="108">
        <f t="shared" si="27"/>
        <v>38.317032693076193</v>
      </c>
      <c r="T218" s="108">
        <f t="shared" si="28"/>
        <v>88.477930993181062</v>
      </c>
    </row>
    <row r="219" spans="1:20" x14ac:dyDescent="0.2">
      <c r="A219" s="108">
        <v>2.4</v>
      </c>
      <c r="B219" s="108">
        <f t="shared" si="29"/>
        <v>251.18864315095806</v>
      </c>
      <c r="C219" s="108">
        <f t="shared" si="16"/>
        <v>1578.2647919764759</v>
      </c>
      <c r="D219" s="108" t="str">
        <f t="shared" si="17"/>
        <v>-1.72735022186051-39.3592677711061i</v>
      </c>
      <c r="E219" s="108">
        <f t="shared" si="18"/>
        <v>31.909296875614398</v>
      </c>
      <c r="F219" s="108">
        <f t="shared" si="19"/>
        <v>-92.512912871237631</v>
      </c>
      <c r="G219" s="108">
        <v>-0.6</v>
      </c>
      <c r="H219" s="112">
        <f t="shared" si="30"/>
        <v>0.25118864315095801</v>
      </c>
      <c r="I219" s="112">
        <f t="shared" si="31"/>
        <v>1.5782647919764756</v>
      </c>
      <c r="J219" s="112">
        <f>(CALCULATIONS!$C$127*10^3)/((CALCULATIONS!$C$123*10^6)+(CALCULATIONS!$C$127*10^3))</f>
        <v>1.2782694198623401E-2</v>
      </c>
      <c r="K219" s="112" t="str">
        <f t="shared" si="20"/>
        <v>843.926563559677-158.245199559073i</v>
      </c>
      <c r="L219" s="108">
        <f t="shared" si="21"/>
        <v>58.676168947351798</v>
      </c>
      <c r="M219" s="108" t="str">
        <f t="shared" si="22"/>
        <v>10.7876551880785-2.02279999436376i</v>
      </c>
      <c r="N219" s="108">
        <f t="shared" si="23"/>
        <v>20.808616935033672</v>
      </c>
      <c r="O219" s="108">
        <f t="shared" si="24"/>
        <v>-10.620243509998309</v>
      </c>
      <c r="P219" s="108" t="str">
        <f>IMPRODUCT(42*10^-6,IMDIV((COMPLEX(1,I219*(CALCULATIONS!C267*10^3)*(CALCULATIONS!C265*10^-6))),IMPRODUCT((COMPLEX(0,data!I219*((CALCULATIONS!C265*10^-6)+(CALCULATIONS!C271*10^-6)))),(COMPLEX(1,I219*((CALCULATIONS!C267*10^3)*(CALCULATIONS!C265*10^-6)*(CALCULATIONS!C271*10^-6))/((CALCULATIONS!C265*10^-6)+(CALCULATIONS!C271*10^-6)))))))</f>
        <v>0.902460469702306-5.88539886401372i</v>
      </c>
      <c r="Q219" s="108">
        <f t="shared" si="25"/>
        <v>15.49645085612293</v>
      </c>
      <c r="R219" s="108" t="str">
        <f t="shared" si="26"/>
        <v>-2.16955242093559-65.3151506223163i</v>
      </c>
      <c r="S219" s="108">
        <f t="shared" si="27"/>
        <v>36.30506779115661</v>
      </c>
      <c r="T219" s="108">
        <f t="shared" si="28"/>
        <v>88.097523950360539</v>
      </c>
    </row>
    <row r="220" spans="1:20" x14ac:dyDescent="0.2">
      <c r="A220" s="108">
        <v>2.5</v>
      </c>
      <c r="B220" s="108">
        <f t="shared" si="29"/>
        <v>316.22776601683825</v>
      </c>
      <c r="C220" s="108">
        <f t="shared" si="16"/>
        <v>1986.917653159222</v>
      </c>
      <c r="D220" s="108" t="str">
        <f t="shared" si="17"/>
        <v>-1.72541022937458-31.2290647920267i</v>
      </c>
      <c r="E220" s="108">
        <f t="shared" si="18"/>
        <v>29.904416559518729</v>
      </c>
      <c r="F220" s="108">
        <f t="shared" si="19"/>
        <v>-93.162384696506919</v>
      </c>
      <c r="G220" s="108">
        <v>-0.5</v>
      </c>
      <c r="H220" s="112">
        <f t="shared" si="30"/>
        <v>0.31622776601683794</v>
      </c>
      <c r="I220" s="112">
        <f t="shared" si="31"/>
        <v>1.9869176531592203</v>
      </c>
      <c r="J220" s="112">
        <f>(CALCULATIONS!$C$127*10^3)/((CALCULATIONS!$C$123*10^6)+(CALCULATIONS!$C$127*10^3))</f>
        <v>1.2782694198623401E-2</v>
      </c>
      <c r="K220" s="112" t="str">
        <f t="shared" si="20"/>
        <v>827.487309669174-195.33822160946i</v>
      </c>
      <c r="L220" s="108">
        <f t="shared" si="21"/>
        <v>58.590735798829144</v>
      </c>
      <c r="M220" s="108" t="str">
        <f t="shared" si="22"/>
        <v>10.5775172327426-2.49694875213666i</v>
      </c>
      <c r="N220" s="108">
        <f t="shared" si="23"/>
        <v>20.723183786510965</v>
      </c>
      <c r="O220" s="108">
        <f t="shared" si="24"/>
        <v>-13.2821954302322</v>
      </c>
      <c r="P220" s="108" t="str">
        <f>IMPRODUCT(42*10^-6,IMDIV((COMPLEX(1,I220*(CALCULATIONS!C267*10^3)*(CALCULATIONS!C265*10^-6))),IMPRODUCT((COMPLEX(0,data!I220*((CALCULATIONS!C265*10^-6)+(CALCULATIONS!C271*10^-6)))),(COMPLEX(1,I220*((CALCULATIONS!C267*10^3)*(CALCULATIONS!C265*10^-6)*(CALCULATIONS!C271*10^-6))/((CALCULATIONS!C265*10^-6)+(CALCULATIONS!C271*10^-6)))))))</f>
        <v>0.902383561215914-4.67999894287292i</v>
      </c>
      <c r="Q220" s="108">
        <f t="shared" si="25"/>
        <v>13.563449788264412</v>
      </c>
      <c r="R220" s="108" t="str">
        <f t="shared" si="26"/>
        <v>-2.14073985110246-51.7559749745822i</v>
      </c>
      <c r="S220" s="108">
        <f t="shared" si="27"/>
        <v>34.286633574775379</v>
      </c>
      <c r="T220" s="108">
        <f t="shared" si="28"/>
        <v>87.631471867789273</v>
      </c>
    </row>
    <row r="221" spans="1:20" x14ac:dyDescent="0.2">
      <c r="A221" s="108">
        <v>2.6</v>
      </c>
      <c r="B221" s="108">
        <f t="shared" si="29"/>
        <v>398.10717055349761</v>
      </c>
      <c r="C221" s="108">
        <f t="shared" si="16"/>
        <v>2501.3811247045737</v>
      </c>
      <c r="D221" s="108" t="str">
        <f t="shared" si="17"/>
        <v>-1.72234445874127-24.7620514926728i</v>
      </c>
      <c r="E221" s="108">
        <f t="shared" si="18"/>
        <v>27.896692995981326</v>
      </c>
      <c r="F221" s="108">
        <f t="shared" si="19"/>
        <v>-93.978845836901357</v>
      </c>
      <c r="G221" s="108">
        <v>-0.4</v>
      </c>
      <c r="H221" s="112">
        <f t="shared" si="30"/>
        <v>0.3981071705534972</v>
      </c>
      <c r="I221" s="112">
        <f t="shared" si="31"/>
        <v>2.5013811247045714</v>
      </c>
      <c r="J221" s="112">
        <f>(CALCULATIONS!$C$127*10^3)/((CALCULATIONS!$C$123*10^6)+(CALCULATIONS!$C$127*10^3))</f>
        <v>1.2782694198623401E-2</v>
      </c>
      <c r="K221" s="112" t="str">
        <f t="shared" si="20"/>
        <v>802.705463060035-238.551474916443i</v>
      </c>
      <c r="L221" s="108">
        <f t="shared" si="21"/>
        <v>58.458684564287317</v>
      </c>
      <c r="M221" s="108" t="str">
        <f t="shared" si="22"/>
        <v>10.2607384658608-3.04933055448747i</v>
      </c>
      <c r="N221" s="108">
        <f t="shared" si="23"/>
        <v>20.591132551969142</v>
      </c>
      <c r="O221" s="108">
        <f t="shared" si="24"/>
        <v>-16.55112358970641</v>
      </c>
      <c r="P221" s="108" t="str">
        <f>IMPRODUCT(42*10^-6,IMDIV((COMPLEX(1,I221*(CALCULATIONS!C267*10^3)*(CALCULATIONS!C265*10^-6))),IMPRODUCT((COMPLEX(0,data!I221*((CALCULATIONS!C265*10^-6)+(CALCULATIONS!C271*10^-6)))),(COMPLEX(1,I221*((CALCULATIONS!C267*10^3)*(CALCULATIONS!C265*10^-6)*(CALCULATIONS!C271*10^-6))/((CALCULATIONS!C265*10^-6)+(CALCULATIONS!C271*10^-6)))))))</f>
        <v>0.902261696326922-3.72382462794322i</v>
      </c>
      <c r="Q221" s="108">
        <f t="shared" si="25"/>
        <v>11.66754042068324</v>
      </c>
      <c r="R221" s="108" t="str">
        <f t="shared" si="26"/>
        <v>-2.09730092376573-40.9604847588102i</v>
      </c>
      <c r="S221" s="108">
        <f t="shared" si="27"/>
        <v>32.258672972652391</v>
      </c>
      <c r="T221" s="108">
        <f t="shared" si="28"/>
        <v>87.068842290724859</v>
      </c>
    </row>
    <row r="222" spans="1:20" x14ac:dyDescent="0.2">
      <c r="A222" s="108">
        <v>2.7</v>
      </c>
      <c r="B222" s="108">
        <f t="shared" si="29"/>
        <v>501.18723362727269</v>
      </c>
      <c r="C222" s="108">
        <f t="shared" si="16"/>
        <v>3149.0522624728624</v>
      </c>
      <c r="D222" s="108" t="str">
        <f t="shared" si="17"/>
        <v>-1.71750779374382-19.6139618716598i</v>
      </c>
      <c r="E222" s="108">
        <f t="shared" si="18"/>
        <v>25.884480039439591</v>
      </c>
      <c r="F222" s="108">
        <f t="shared" si="19"/>
        <v>-95.004373038677656</v>
      </c>
      <c r="G222" s="108">
        <v>-0.3</v>
      </c>
      <c r="H222" s="112">
        <f t="shared" si="30"/>
        <v>0.50118723362727224</v>
      </c>
      <c r="I222" s="112">
        <f t="shared" si="31"/>
        <v>3.1490522624728596</v>
      </c>
      <c r="J222" s="112">
        <f>(CALCULATIONS!$C$127*10^3)/((CALCULATIONS!$C$123*10^6)+(CALCULATIONS!$C$127*10^3))</f>
        <v>1.2782694198623401E-2</v>
      </c>
      <c r="K222" s="112" t="str">
        <f t="shared" si="20"/>
        <v>766.331629652274-286.70986642176i</v>
      </c>
      <c r="L222" s="108">
        <f t="shared" si="21"/>
        <v>58.257289887593593</v>
      </c>
      <c r="M222" s="108" t="str">
        <f t="shared" si="22"/>
        <v>9.79578287657774-3.66492454619752i</v>
      </c>
      <c r="N222" s="108">
        <f t="shared" si="23"/>
        <v>20.38973787527544</v>
      </c>
      <c r="O222" s="108">
        <f t="shared" si="24"/>
        <v>-20.512476152900629</v>
      </c>
      <c r="P222" s="108" t="str">
        <f>IMPRODUCT(42*10^-6,IMDIV((COMPLEX(1,I222*(CALCULATIONS!C267*10^3)*(CALCULATIONS!C265*10^-6))),IMPRODUCT((COMPLEX(0,data!I222*((CALCULATIONS!C265*10^-6)+(CALCULATIONS!C271*10^-6)))),(COMPLEX(1,I222*((CALCULATIONS!C267*10^3)*(CALCULATIONS!C265*10^-6)*(CALCULATIONS!C271*10^-6))/((CALCULATIONS!C265*10^-6)+(CALCULATIONS!C271*10^-6)))))))</f>
        <v>0.902068620902614-2.96595475491149i</v>
      </c>
      <c r="Q222" s="108">
        <f t="shared" si="25"/>
        <v>9.8275119811995477</v>
      </c>
      <c r="R222" s="108" t="str">
        <f t="shared" si="26"/>
        <v>-2.03353203405045-32.3598622319668i</v>
      </c>
      <c r="S222" s="108">
        <f t="shared" si="27"/>
        <v>30.217249856474982</v>
      </c>
      <c r="T222" s="108">
        <f t="shared" si="28"/>
        <v>86.404193739948965</v>
      </c>
    </row>
    <row r="223" spans="1:20" x14ac:dyDescent="0.2">
      <c r="A223" s="108">
        <v>2.8</v>
      </c>
      <c r="B223" s="108">
        <f t="shared" si="29"/>
        <v>630.95734448019323</v>
      </c>
      <c r="C223" s="108">
        <f t="shared" si="16"/>
        <v>3964.4219162949989</v>
      </c>
      <c r="D223" s="108" t="str">
        <f t="shared" si="17"/>
        <v>-1.70989759328258-15.5108897621188i</v>
      </c>
      <c r="E223" s="108">
        <f t="shared" si="18"/>
        <v>23.865193884901093</v>
      </c>
      <c r="F223" s="108">
        <f t="shared" si="19"/>
        <v>-96.290801171058675</v>
      </c>
      <c r="G223" s="108">
        <v>-0.2</v>
      </c>
      <c r="H223" s="112">
        <f t="shared" si="30"/>
        <v>0.63095734448019325</v>
      </c>
      <c r="I223" s="112">
        <f t="shared" si="31"/>
        <v>3.9644219162949992</v>
      </c>
      <c r="J223" s="112">
        <f>(CALCULATIONS!$C$127*10^3)/((CALCULATIONS!$C$123*10^6)+(CALCULATIONS!$C$127*10^3))</f>
        <v>1.2782694198623401E-2</v>
      </c>
      <c r="K223" s="112" t="str">
        <f t="shared" si="20"/>
        <v>714.983031718308-336.760869681272i</v>
      </c>
      <c r="L223" s="108">
        <f t="shared" si="21"/>
        <v>57.956079727784726</v>
      </c>
      <c r="M223" s="108" t="str">
        <f t="shared" si="22"/>
        <v>9.13940945165979-4.30471121519817i</v>
      </c>
      <c r="N223" s="108">
        <f t="shared" si="23"/>
        <v>20.088527715466572</v>
      </c>
      <c r="O223" s="108">
        <f t="shared" si="24"/>
        <v>-25.220688865214491</v>
      </c>
      <c r="P223" s="108" t="str">
        <f>IMPRODUCT(42*10^-6,IMDIV((COMPLEX(1,I223*(CALCULATIONS!C267*10^3)*(CALCULATIONS!C265*10^-6))),IMPRODUCT((COMPLEX(0,data!I223*((CALCULATIONS!C265*10^-6)+(CALCULATIONS!C271*10^-6)))),(COMPLEX(1,I223*((CALCULATIONS!C267*10^3)*(CALCULATIONS!C265*10^-6)*(CALCULATIONS!C271*10^-6))/((CALCULATIONS!C265*10^-6)+(CALCULATIONS!C271*10^-6)))))))</f>
        <v>0.901762786183413-2.36602720801702i</v>
      </c>
      <c r="Q223" s="108">
        <f t="shared" si="25"/>
        <v>8.0694344851077275</v>
      </c>
      <c r="R223" s="108" t="str">
        <f t="shared" si="26"/>
        <v>-1.94348452661513-25.5059198069671i</v>
      </c>
      <c r="S223" s="108">
        <f t="shared" si="27"/>
        <v>28.15796220057431</v>
      </c>
      <c r="T223" s="108">
        <f t="shared" si="28"/>
        <v>85.642631131159945</v>
      </c>
    </row>
    <row r="224" spans="1:20" x14ac:dyDescent="0.2">
      <c r="A224" s="108">
        <v>2.9</v>
      </c>
      <c r="B224" s="108">
        <f t="shared" si="29"/>
        <v>794.32823472428208</v>
      </c>
      <c r="C224" s="108">
        <f t="shared" si="16"/>
        <v>4990.9114934975069</v>
      </c>
      <c r="D224" s="108" t="str">
        <f t="shared" si="17"/>
        <v>-1.69797342029493-12.2348175631187i</v>
      </c>
      <c r="E224" s="108">
        <f t="shared" si="18"/>
        <v>21.83480175067233</v>
      </c>
      <c r="F224" s="108">
        <f t="shared" si="19"/>
        <v>-97.901158688884649</v>
      </c>
      <c r="G224" s="108">
        <v>-0.1</v>
      </c>
      <c r="H224" s="112">
        <f t="shared" si="30"/>
        <v>0.79432823472428149</v>
      </c>
      <c r="I224" s="112">
        <f t="shared" si="31"/>
        <v>4.990911493497503</v>
      </c>
      <c r="J224" s="112">
        <f>(CALCULATIONS!$C$127*10^3)/((CALCULATIONS!$C$123*10^6)+(CALCULATIONS!$C$127*10^3))</f>
        <v>1.2782694198623401E-2</v>
      </c>
      <c r="K224" s="112" t="str">
        <f t="shared" si="20"/>
        <v>646.343369639282-383.256196619425i</v>
      </c>
      <c r="L224" s="108">
        <f t="shared" si="21"/>
        <v>57.517755357762098</v>
      </c>
      <c r="M224" s="108" t="str">
        <f t="shared" si="22"/>
        <v>8.26200964140675-4.89904676111359i</v>
      </c>
      <c r="N224" s="108">
        <f t="shared" si="23"/>
        <v>19.650203345443934</v>
      </c>
      <c r="O224" s="108">
        <f t="shared" si="24"/>
        <v>-30.666273588635462</v>
      </c>
      <c r="P224" s="108" t="str">
        <f>IMPRODUCT(42*10^-6,IMDIV((COMPLEX(1,I224*(CALCULATIONS!C267*10^3)*(CALCULATIONS!C265*10^-6))),IMPRODUCT((COMPLEX(0,data!I224*((CALCULATIONS!C265*10^-6)+(CALCULATIONS!C271*10^-6)))),(COMPLEX(1,I224*((CALCULATIONS!C267*10^3)*(CALCULATIONS!C265*10^-6)*(CALCULATIONS!C271*10^-6))/((CALCULATIONS!C265*10^-6)+(CALCULATIONS!C271*10^-6)))))))</f>
        <v>0.901278495383053-1.89208811633862i</v>
      </c>
      <c r="Q224" s="108">
        <f t="shared" si="25"/>
        <v>6.4269203156401442</v>
      </c>
      <c r="R224" s="108" t="str">
        <f t="shared" si="26"/>
        <v>-1.82305653964288-20.0478557532485i</v>
      </c>
      <c r="S224" s="108">
        <f t="shared" si="27"/>
        <v>26.077123661084084</v>
      </c>
      <c r="T224" s="108">
        <f t="shared" si="28"/>
        <v>84.804085242355796</v>
      </c>
    </row>
    <row r="225" spans="1:20" x14ac:dyDescent="0.2">
      <c r="A225" s="108">
        <v>3</v>
      </c>
      <c r="B225" s="108">
        <f t="shared" si="29"/>
        <v>1000</v>
      </c>
      <c r="C225" s="108">
        <f t="shared" si="16"/>
        <v>6283.1853071795858</v>
      </c>
      <c r="D225" s="108" t="str">
        <f t="shared" si="17"/>
        <v>-1.67941182186125-9.6122225241575i</v>
      </c>
      <c r="E225" s="108">
        <f t="shared" si="18"/>
        <v>19.787064934409791</v>
      </c>
      <c r="F225" s="108">
        <f t="shared" si="19"/>
        <v>-99.910472180562508</v>
      </c>
      <c r="G225" s="108">
        <v>0</v>
      </c>
      <c r="H225" s="112">
        <f t="shared" si="30"/>
        <v>1</v>
      </c>
      <c r="I225" s="112">
        <f t="shared" si="31"/>
        <v>6.2831853071795862</v>
      </c>
      <c r="J225" s="112">
        <f>(CALCULATIONS!$C$127*10^3)/((CALCULATIONS!$C$123*10^6)+(CALCULATIONS!$C$127*10^3))</f>
        <v>1.2782694198623401E-2</v>
      </c>
      <c r="K225" s="112" t="str">
        <f t="shared" si="20"/>
        <v>560.987637389752-418.773486844084i</v>
      </c>
      <c r="L225" s="108">
        <f t="shared" si="21"/>
        <v>56.902655284334422</v>
      </c>
      <c r="M225" s="108" t="str">
        <f t="shared" si="22"/>
        <v>7.17093341796143-5.35305342081917i</v>
      </c>
      <c r="N225" s="108">
        <f t="shared" si="23"/>
        <v>19.035103272016261</v>
      </c>
      <c r="O225" s="108">
        <f t="shared" si="24"/>
        <v>-36.741091130310394</v>
      </c>
      <c r="P225" s="108" t="str">
        <f>IMPRODUCT(42*10^-6,IMDIV((COMPLEX(1,I225*(CALCULATIONS!C267*10^3)*(CALCULATIONS!C265*10^-6))),IMPRODUCT((COMPLEX(0,data!I225*((CALCULATIONS!C265*10^-6)+(CALCULATIONS!C271*10^-6)))),(COMPLEX(1,I225*((CALCULATIONS!C267*10^3)*(CALCULATIONS!C265*10^-6)*(CALCULATIONS!C271*10^-6))/((CALCULATIONS!C265*10^-6)+(CALCULATIONS!C271*10^-6)))))))</f>
        <v>0.900512010806995-1.51888746462488i</v>
      </c>
      <c r="Q225" s="108">
        <f t="shared" si="25"/>
        <v>4.9386789453110609</v>
      </c>
      <c r="R225" s="108" t="str">
        <f t="shared" si="26"/>
        <v>-1.67317406677805-15.7123297781404i</v>
      </c>
      <c r="S225" s="108">
        <f t="shared" si="27"/>
        <v>23.973782217327329</v>
      </c>
      <c r="T225" s="108">
        <f t="shared" si="28"/>
        <v>83.921595546862122</v>
      </c>
    </row>
    <row r="226" spans="1:20" x14ac:dyDescent="0.2">
      <c r="A226" s="108">
        <v>3.1</v>
      </c>
      <c r="B226" s="108">
        <f t="shared" si="29"/>
        <v>1258.925411794168</v>
      </c>
      <c r="C226" s="108">
        <f t="shared" si="16"/>
        <v>7910.0616502201265</v>
      </c>
      <c r="D226" s="108" t="str">
        <f t="shared" si="17"/>
        <v>-1.65081078467569-7.50522830316021i</v>
      </c>
      <c r="E226" s="108">
        <f t="shared" si="18"/>
        <v>17.712465848988309</v>
      </c>
      <c r="F226" s="108">
        <f t="shared" si="19"/>
        <v>-102.40494679507941</v>
      </c>
      <c r="G226" s="108">
        <v>0.1</v>
      </c>
      <c r="H226" s="112">
        <f t="shared" si="30"/>
        <v>1.2589254117941673</v>
      </c>
      <c r="I226" s="112">
        <f t="shared" si="31"/>
        <v>7.910061650220122</v>
      </c>
      <c r="J226" s="112">
        <f>(CALCULATIONS!$C$127*10^3)/((CALCULATIONS!$C$123*10^6)+(CALCULATIONS!$C$127*10^3))</f>
        <v>1.2782694198623401E-2</v>
      </c>
      <c r="K226" s="112" t="str">
        <f t="shared" si="20"/>
        <v>463.894484638455-435.958446615709i</v>
      </c>
      <c r="L226" s="108">
        <f t="shared" si="21"/>
        <v>56.077314468266223</v>
      </c>
      <c r="M226" s="108" t="str">
        <f t="shared" si="22"/>
        <v>5.92982133756137-5.57272350639549i</v>
      </c>
      <c r="N226" s="108">
        <f t="shared" si="23"/>
        <v>18.209762455948063</v>
      </c>
      <c r="O226" s="108">
        <f t="shared" si="24"/>
        <v>-43.221817041287501</v>
      </c>
      <c r="P226" s="108" t="str">
        <f>IMPRODUCT(42*10^-6,IMDIV((COMPLEX(1,I226*(CALCULATIONS!C267*10^3)*(CALCULATIONS!C265*10^-6))),IMPRODUCT((COMPLEX(0,data!I226*((CALCULATIONS!C265*10^-6)+(CALCULATIONS!C271*10^-6)))),(COMPLEX(1,I226*((CALCULATIONS!C267*10^3)*(CALCULATIONS!C265*10^-6)*(CALCULATIONS!C271*10^-6))/((CALCULATIONS!C265*10^-6)+(CALCULATIONS!C271*10^-6)))))))</f>
        <v>0.89929988151247-1.2265290311881i</v>
      </c>
      <c r="Q226" s="108">
        <f t="shared" si="25"/>
        <v>3.6419698857540173</v>
      </c>
      <c r="R226" s="108" t="str">
        <f t="shared" si="26"/>
        <v>-1.50241953711935-12.2846476092809i</v>
      </c>
      <c r="S226" s="108">
        <f t="shared" si="27"/>
        <v>21.851732341702082</v>
      </c>
      <c r="T226" s="108">
        <f t="shared" si="28"/>
        <v>83.027319766480957</v>
      </c>
    </row>
    <row r="227" spans="1:20" x14ac:dyDescent="0.2">
      <c r="A227" s="108">
        <v>3.2</v>
      </c>
      <c r="B227" s="108">
        <f t="shared" si="29"/>
        <v>1584.8931924611156</v>
      </c>
      <c r="C227" s="108">
        <f t="shared" si="16"/>
        <v>9958.17762032063</v>
      </c>
      <c r="D227" s="108" t="str">
        <f t="shared" si="17"/>
        <v>-1.60742423749348-5.804931813811i</v>
      </c>
      <c r="E227" s="108">
        <f t="shared" si="18"/>
        <v>15.596797999933365</v>
      </c>
      <c r="F227" s="108">
        <f t="shared" si="19"/>
        <v>-105.47776414599585</v>
      </c>
      <c r="G227" s="108">
        <v>0.2</v>
      </c>
      <c r="H227" s="112">
        <f t="shared" si="30"/>
        <v>1.5848931924611136</v>
      </c>
      <c r="I227" s="112">
        <f t="shared" si="31"/>
        <v>9.9581776203206172</v>
      </c>
      <c r="J227" s="112">
        <f>(CALCULATIONS!$C$127*10^3)/((CALCULATIONS!$C$123*10^6)+(CALCULATIONS!$C$127*10^3))</f>
        <v>1.2782694198623401E-2</v>
      </c>
      <c r="K227" s="112" t="str">
        <f t="shared" si="20"/>
        <v>364.036960793711-430.696524555077i</v>
      </c>
      <c r="L227" s="108">
        <f t="shared" si="21"/>
        <v>55.024577176674697</v>
      </c>
      <c r="M227" s="108" t="str">
        <f t="shared" si="22"/>
        <v>4.65337314682226-5.50546196579744i</v>
      </c>
      <c r="N227" s="108">
        <f t="shared" si="23"/>
        <v>17.157025164356536</v>
      </c>
      <c r="O227" s="108">
        <f t="shared" si="24"/>
        <v>-49.794554027800238</v>
      </c>
      <c r="P227" s="108" t="str">
        <f>IMPRODUCT(42*10^-6,IMDIV((COMPLEX(1,I227*(CALCULATIONS!C267*10^3)*(CALCULATIONS!C265*10^-6))),IMPRODUCT((COMPLEX(0,data!I227*((CALCULATIONS!C265*10^-6)+(CALCULATIONS!C271*10^-6)))),(COMPLEX(1,I227*((CALCULATIONS!C267*10^3)*(CALCULATIONS!C265*10^-6)*(CALCULATIONS!C271*10^-6))/((CALCULATIONS!C265*10^-6)+(CALCULATIONS!C271*10^-6)))))))</f>
        <v>0.89738545603972-0.999400174202346i</v>
      </c>
      <c r="Q227" s="108">
        <f t="shared" si="25"/>
        <v>2.5626093508128984</v>
      </c>
      <c r="R227" s="108" t="str">
        <f t="shared" si="26"/>
        <v>-1.32629026419827-9.59110343044915i</v>
      </c>
      <c r="S227" s="108">
        <f t="shared" si="27"/>
        <v>19.719634515169432</v>
      </c>
      <c r="T227" s="108">
        <f t="shared" si="28"/>
        <v>82.126876261746759</v>
      </c>
    </row>
    <row r="228" spans="1:20" x14ac:dyDescent="0.2">
      <c r="A228" s="108">
        <v>3.3</v>
      </c>
      <c r="B228" s="108">
        <f t="shared" si="29"/>
        <v>1995.2623149688804</v>
      </c>
      <c r="C228" s="108">
        <f t="shared" si="16"/>
        <v>12536.602861381598</v>
      </c>
      <c r="D228" s="108" t="str">
        <f t="shared" si="17"/>
        <v>-1.54314587932992-4.42663377880793i</v>
      </c>
      <c r="E228" s="108">
        <f t="shared" si="18"/>
        <v>13.419562709364989</v>
      </c>
      <c r="F228" s="108">
        <f t="shared" si="19"/>
        <v>-109.21880116339902</v>
      </c>
      <c r="G228" s="108">
        <v>0.3</v>
      </c>
      <c r="H228" s="112">
        <f t="shared" si="30"/>
        <v>1.9952623149688797</v>
      </c>
      <c r="I228" s="112">
        <f t="shared" si="31"/>
        <v>12.536602861381592</v>
      </c>
      <c r="J228" s="112">
        <f>(CALCULATIONS!$C$127*10^3)/((CALCULATIONS!$C$123*10^6)+(CALCULATIONS!$C$127*10^3))</f>
        <v>1.2782694198623401E-2</v>
      </c>
      <c r="K228" s="112" t="str">
        <f t="shared" si="20"/>
        <v>271.433847732989-404.287105942066i</v>
      </c>
      <c r="L228" s="108">
        <f t="shared" si="21"/>
        <v>53.749762408306424</v>
      </c>
      <c r="M228" s="108" t="str">
        <f t="shared" si="22"/>
        <v>3.46965587072651-5.16787844370389i</v>
      </c>
      <c r="N228" s="108">
        <f t="shared" si="23"/>
        <v>15.882210395988277</v>
      </c>
      <c r="O228" s="108">
        <f t="shared" si="24"/>
        <v>-56.12302962867097</v>
      </c>
      <c r="P228" s="108" t="str">
        <f>IMPRODUCT(42*10^-6,IMDIV((COMPLEX(1,I228*(CALCULATIONS!C267*10^3)*(CALCULATIONS!C265*10^-6))),IMPRODUCT((COMPLEX(0,data!I228*((CALCULATIONS!C265*10^-6)+(CALCULATIONS!C271*10^-6)))),(COMPLEX(1,I228*((CALCULATIONS!C267*10^3)*(CALCULATIONS!C265*10^-6)*(CALCULATIONS!C271*10^-6))/((CALCULATIONS!C265*10^-6)+(CALCULATIONS!C271*10^-6)))))))</f>
        <v>0.894367936097105-0.825319493733932i</v>
      </c>
      <c r="Q228" s="108">
        <f t="shared" si="25"/>
        <v>1.7056862725701563</v>
      </c>
      <c r="R228" s="108" t="str">
        <f t="shared" si="26"/>
        <v>-1.16200186076732-7.48555940435513i</v>
      </c>
      <c r="S228" s="108">
        <f t="shared" si="27"/>
        <v>17.587896668558425</v>
      </c>
      <c r="T228" s="108">
        <f t="shared" si="28"/>
        <v>81.17626052793139</v>
      </c>
    </row>
    <row r="229" spans="1:20" x14ac:dyDescent="0.2">
      <c r="A229" s="108">
        <v>3.4</v>
      </c>
      <c r="B229" s="108">
        <f t="shared" si="29"/>
        <v>2511.8864315095811</v>
      </c>
      <c r="C229" s="108">
        <f t="shared" si="16"/>
        <v>15782.647919764762</v>
      </c>
      <c r="D229" s="108" t="str">
        <f t="shared" si="17"/>
        <v>-1.45117426077155-3.30663438076408i</v>
      </c>
      <c r="E229" s="108">
        <f t="shared" si="18"/>
        <v>11.152688542348038</v>
      </c>
      <c r="F229" s="108">
        <f t="shared" si="19"/>
        <v>-113.6951074762506</v>
      </c>
      <c r="G229" s="108">
        <v>0.4</v>
      </c>
      <c r="H229" s="112">
        <f t="shared" si="30"/>
        <v>2.5118864315095806</v>
      </c>
      <c r="I229" s="112">
        <f t="shared" si="31"/>
        <v>15.782647919764759</v>
      </c>
      <c r="J229" s="112">
        <f>(CALCULATIONS!$C$127*10^3)/((CALCULATIONS!$C$123*10^6)+(CALCULATIONS!$C$127*10^3))</f>
        <v>1.2782694198623401E-2</v>
      </c>
      <c r="K229" s="112" t="str">
        <f t="shared" si="20"/>
        <v>193.444345778069-362.728706774025i</v>
      </c>
      <c r="L229" s="108">
        <f t="shared" si="21"/>
        <v>52.278682778825896</v>
      </c>
      <c r="M229" s="108" t="str">
        <f t="shared" si="22"/>
        <v>2.47273991653382-4.6366501357545i</v>
      </c>
      <c r="N229" s="108">
        <f t="shared" si="23"/>
        <v>14.411130766507746</v>
      </c>
      <c r="O229" s="108">
        <f t="shared" si="24"/>
        <v>-61.92886146717462</v>
      </c>
      <c r="P229" s="108" t="str">
        <f>IMPRODUCT(42*10^-6,IMDIV((COMPLEX(1,I229*(CALCULATIONS!C267*10^3)*(CALCULATIONS!C265*10^-6))),IMPRODUCT((COMPLEX(0,data!I229*((CALCULATIONS!C265*10^-6)+(CALCULATIONS!C271*10^-6)))),(COMPLEX(1,I229*((CALCULATIONS!C267*10^3)*(CALCULATIONS!C265*10^-6)*(CALCULATIONS!C271*10^-6))/((CALCULATIONS!C265*10^-6)+(CALCULATIONS!C271*10^-6)))))))</f>
        <v>0.889626837379178-0.694847577925393i</v>
      </c>
      <c r="Q229" s="108">
        <f t="shared" si="25"/>
        <v>1.052543240452364</v>
      </c>
      <c r="R229" s="108" t="str">
        <f t="shared" si="26"/>
        <v>-1.02194932490922-5.84306573814798i</v>
      </c>
      <c r="S229" s="108">
        <f t="shared" si="27"/>
        <v>15.463674006960115</v>
      </c>
      <c r="T229" s="108">
        <f t="shared" si="28"/>
        <v>80.079341244259226</v>
      </c>
    </row>
    <row r="230" spans="1:20" x14ac:dyDescent="0.2">
      <c r="A230" s="108">
        <v>3.5</v>
      </c>
      <c r="B230" s="108">
        <f t="shared" si="29"/>
        <v>3162.2776601683804</v>
      </c>
      <c r="C230" s="108">
        <f t="shared" si="16"/>
        <v>19869.176531592209</v>
      </c>
      <c r="D230" s="108" t="str">
        <f t="shared" si="17"/>
        <v>-1.32592746800653-2.3998626009603i</v>
      </c>
      <c r="E230" s="108">
        <f t="shared" si="18"/>
        <v>8.760690550355493</v>
      </c>
      <c r="F230" s="108">
        <f t="shared" si="19"/>
        <v>-118.92071218397656</v>
      </c>
      <c r="G230" s="108">
        <v>0.5</v>
      </c>
      <c r="H230" s="112">
        <f t="shared" si="30"/>
        <v>3.1622776601683795</v>
      </c>
      <c r="I230" s="112">
        <f t="shared" si="31"/>
        <v>19.869176531592203</v>
      </c>
      <c r="J230" s="112">
        <f>(CALCULATIONS!$C$127*10^3)/((CALCULATIONS!$C$123*10^6)+(CALCULATIONS!$C$127*10^3))</f>
        <v>1.2782694198623401E-2</v>
      </c>
      <c r="K230" s="112" t="str">
        <f t="shared" si="20"/>
        <v>132.916899979035-313.766151581556i</v>
      </c>
      <c r="L230" s="108">
        <f t="shared" si="21"/>
        <v>50.648924413908638</v>
      </c>
      <c r="M230" s="108" t="str">
        <f t="shared" si="22"/>
        <v>1.69903608626102-4.01077676554595i</v>
      </c>
      <c r="N230" s="108">
        <f t="shared" si="23"/>
        <v>12.781372401590488</v>
      </c>
      <c r="O230" s="108">
        <f t="shared" si="24"/>
        <v>-67.041623735377016</v>
      </c>
      <c r="P230" s="108" t="str">
        <f>IMPRODUCT(42*10^-6,IMDIV((COMPLEX(1,I230*(CALCULATIONS!C267*10^3)*(CALCULATIONS!C265*10^-6))),IMPRODUCT((COMPLEX(0,data!I230*((CALCULATIONS!C265*10^-6)+(CALCULATIONS!C271*10^-6)))),(COMPLEX(1,I230*((CALCULATIONS!C267*10^3)*(CALCULATIONS!C265*10^-6)*(CALCULATIONS!C271*10^-6))/((CALCULATIONS!C265*10^-6)+(CALCULATIONS!C271*10^-6)))))))</f>
        <v>0.882214808198212-0.600706989287433i</v>
      </c>
      <c r="Q230" s="108">
        <f t="shared" si="25"/>
        <v>0.5658162161938769</v>
      </c>
      <c r="R230" s="108" t="str">
        <f t="shared" si="26"/>
        <v>-0.91038684057249-4.55898950701053i</v>
      </c>
      <c r="S230" s="108">
        <f t="shared" si="27"/>
        <v>13.347188617784374</v>
      </c>
      <c r="T230" s="108">
        <f t="shared" si="28"/>
        <v>78.707120191532809</v>
      </c>
    </row>
    <row r="231" spans="1:20" x14ac:dyDescent="0.2">
      <c r="A231" s="108">
        <v>3.6</v>
      </c>
      <c r="B231" s="108">
        <f t="shared" si="29"/>
        <v>3981.0717055349769</v>
      </c>
      <c r="C231" s="108">
        <f t="shared" si="16"/>
        <v>25013.811247045742</v>
      </c>
      <c r="D231" s="108" t="str">
        <f t="shared" si="17"/>
        <v>-1.16638090662548-1.67689941018177i</v>
      </c>
      <c r="E231" s="108">
        <f t="shared" si="18"/>
        <v>6.2038968919307615</v>
      </c>
      <c r="F231" s="108">
        <f t="shared" si="19"/>
        <v>-124.82085532407724</v>
      </c>
      <c r="G231" s="108">
        <v>0.6</v>
      </c>
      <c r="H231" s="112">
        <f t="shared" si="30"/>
        <v>3.9810717055349727</v>
      </c>
      <c r="I231" s="112">
        <f t="shared" si="31"/>
        <v>25.013811247045716</v>
      </c>
      <c r="J231" s="112">
        <f>(CALCULATIONS!$C$127*10^3)/((CALCULATIONS!$C$123*10^6)+(CALCULATIONS!$C$127*10^3))</f>
        <v>1.2782694198623401E-2</v>
      </c>
      <c r="K231" s="112" t="str">
        <f t="shared" si="20"/>
        <v>88.8539854732942-264.060109994208i</v>
      </c>
      <c r="L231" s="108">
        <f t="shared" si="21"/>
        <v>48.899891502208064</v>
      </c>
      <c r="M231" s="108" t="str">
        <f t="shared" si="22"/>
        <v>1.13579332463405-3.37539963611082i</v>
      </c>
      <c r="N231" s="108">
        <f t="shared" si="23"/>
        <v>11.032339489889907</v>
      </c>
      <c r="O231" s="108">
        <f t="shared" si="24"/>
        <v>-71.402350526979049</v>
      </c>
      <c r="P231" s="108" t="str">
        <f>IMPRODUCT(42*10^-6,IMDIV((COMPLEX(1,I231*(CALCULATIONS!C267*10^3)*(CALCULATIONS!C265*10^-6))),IMPRODUCT((COMPLEX(0,data!I231*((CALCULATIONS!C265*10^-6)+(CALCULATIONS!C271*10^-6)))),(COMPLEX(1,I231*((CALCULATIONS!C267*10^3)*(CALCULATIONS!C265*10^-6)*(CALCULATIONS!C271*10^-6))/((CALCULATIONS!C265*10^-6)+(CALCULATIONS!C271*10^-6)))))))</f>
        <v>0.870717229709183-0.537251189199455i</v>
      </c>
      <c r="Q231" s="108">
        <f t="shared" si="25"/>
        <v>0.19858459258534261</v>
      </c>
      <c r="R231" s="108" t="str">
        <f t="shared" si="26"/>
        <v>-0.824482651376403-3.54922493466024i</v>
      </c>
      <c r="S231" s="108">
        <f t="shared" si="27"/>
        <v>11.230924082475241</v>
      </c>
      <c r="T231" s="108">
        <f t="shared" si="28"/>
        <v>76.922174416791918</v>
      </c>
    </row>
    <row r="232" spans="1:20" x14ac:dyDescent="0.2">
      <c r="A232" s="108">
        <v>3.7</v>
      </c>
      <c r="B232" s="108">
        <f t="shared" si="29"/>
        <v>5011.8723362727324</v>
      </c>
      <c r="C232" s="108">
        <f t="shared" si="16"/>
        <v>31490.522624728659</v>
      </c>
      <c r="D232" s="108" t="str">
        <f t="shared" si="17"/>
        <v>-0.979569664437158-1.11866986099807i</v>
      </c>
      <c r="E232" s="108">
        <f t="shared" si="18"/>
        <v>3.4458461477585809</v>
      </c>
      <c r="F232" s="108">
        <f t="shared" si="19"/>
        <v>-131.20719688389917</v>
      </c>
      <c r="G232" s="108">
        <v>0.7</v>
      </c>
      <c r="H232" s="112">
        <f t="shared" si="30"/>
        <v>5.0118723362727229</v>
      </c>
      <c r="I232" s="112">
        <f t="shared" si="31"/>
        <v>31.490522624728598</v>
      </c>
      <c r="J232" s="112">
        <f>(CALCULATIONS!$C$127*10^3)/((CALCULATIONS!$C$123*10^6)+(CALCULATIONS!$C$127*10^3))</f>
        <v>1.2782694198623401E-2</v>
      </c>
      <c r="K232" s="112" t="str">
        <f t="shared" si="20"/>
        <v>58.2494937402904-217.930513673197i</v>
      </c>
      <c r="L232" s="108">
        <f t="shared" si="21"/>
        <v>47.066043928781369</v>
      </c>
      <c r="M232" s="108" t="str">
        <f t="shared" si="22"/>
        <v>0.74458546570676-2.78573911283339i</v>
      </c>
      <c r="N232" s="108">
        <f t="shared" si="23"/>
        <v>9.1984919164631957</v>
      </c>
      <c r="O232" s="108">
        <f t="shared" si="24"/>
        <v>-75.03552769302901</v>
      </c>
      <c r="P232" s="108" t="str">
        <f>IMPRODUCT(42*10^-6,IMDIV((COMPLEX(1,I232*(CALCULATIONS!C267*10^3)*(CALCULATIONS!C265*10^-6))),IMPRODUCT((COMPLEX(0,data!I232*((CALCULATIONS!C265*10^-6)+(CALCULATIONS!C271*10^-6)))),(COMPLEX(1,I232*((CALCULATIONS!C267*10^3)*(CALCULATIONS!C265*10^-6)*(CALCULATIONS!C271*10^-6))/((CALCULATIONS!C265*10^-6)+(CALCULATIONS!C271*10^-6)))))))</f>
        <v>0.853096249142655-0.499908982817845i</v>
      </c>
      <c r="Q232" s="108">
        <f t="shared" si="25"/>
        <v>-9.8022910264224938E-2</v>
      </c>
      <c r="R232" s="108" t="str">
        <f t="shared" si="26"/>
        <v>-0.757412938331852-2.74872855103057i</v>
      </c>
      <c r="S232" s="108">
        <f t="shared" si="27"/>
        <v>9.1004690061989688</v>
      </c>
      <c r="T232" s="108">
        <f t="shared" si="28"/>
        <v>74.594440556820317</v>
      </c>
    </row>
    <row r="233" spans="1:20" x14ac:dyDescent="0.2">
      <c r="A233" s="108">
        <v>3.8</v>
      </c>
      <c r="B233" s="108">
        <f t="shared" si="29"/>
        <v>6309.5734448019384</v>
      </c>
      <c r="C233" s="108">
        <f t="shared" si="16"/>
        <v>39644.21916295003</v>
      </c>
      <c r="D233" s="108" t="str">
        <f t="shared" si="17"/>
        <v>-0.781254786247563-0.708694889870576i</v>
      </c>
      <c r="E233" s="108">
        <f t="shared" si="18"/>
        <v>0.46341978461396716</v>
      </c>
      <c r="F233" s="108">
        <f t="shared" si="19"/>
        <v>-137.78807663778474</v>
      </c>
      <c r="G233" s="108">
        <v>0.8</v>
      </c>
      <c r="H233" s="112">
        <f t="shared" si="30"/>
        <v>6.3095734448019343</v>
      </c>
      <c r="I233" s="112">
        <f t="shared" si="31"/>
        <v>39.644219162950002</v>
      </c>
      <c r="J233" s="112">
        <f>(CALCULATIONS!$C$127*10^3)/((CALCULATIONS!$C$123*10^6)+(CALCULATIONS!$C$127*10^3))</f>
        <v>1.2782694198623401E-2</v>
      </c>
      <c r="K233" s="112" t="str">
        <f t="shared" si="20"/>
        <v>37.6801363373868-177.475477315755i</v>
      </c>
      <c r="L233" s="108">
        <f t="shared" si="21"/>
        <v>45.174247032405297</v>
      </c>
      <c r="M233" s="108" t="str">
        <f t="shared" si="22"/>
        <v>0.481653660163253-2.26861475428202i</v>
      </c>
      <c r="N233" s="108">
        <f t="shared" si="23"/>
        <v>7.3066950200871439</v>
      </c>
      <c r="O233" s="108">
        <f t="shared" si="24"/>
        <v>-78.013418794716458</v>
      </c>
      <c r="P233" s="108" t="str">
        <f>IMPRODUCT(42*10^-6,IMDIV((COMPLEX(1,I233*(CALCULATIONS!C267*10^3)*(CALCULATIONS!C265*10^-6))),IMPRODUCT((COMPLEX(0,data!I233*((CALCULATIONS!C265*10^-6)+(CALCULATIONS!C271*10^-6)))),(COMPLEX(1,I233*((CALCULATIONS!C267*10^3)*(CALCULATIONS!C265*10^-6)*(CALCULATIONS!C271*10^-6))/((CALCULATIONS!C265*10^-6)+(CALCULATIONS!C271*10^-6)))))))</f>
        <v>0.826584392981017-0.484520763181316i</v>
      </c>
      <c r="Q233" s="108">
        <f t="shared" si="25"/>
        <v>-0.37156311750688975</v>
      </c>
      <c r="R233" s="108" t="str">
        <f t="shared" si="26"/>
        <v>-0.70106355379599-2.10857274858736i</v>
      </c>
      <c r="S233" s="108">
        <f t="shared" si="27"/>
        <v>6.9351319025802685</v>
      </c>
      <c r="T233" s="108">
        <f t="shared" si="28"/>
        <v>71.608936248507518</v>
      </c>
    </row>
    <row r="234" spans="1:20" x14ac:dyDescent="0.2">
      <c r="A234" s="108">
        <v>3.9</v>
      </c>
      <c r="B234" s="108">
        <f t="shared" si="29"/>
        <v>7943.2823472428154</v>
      </c>
      <c r="C234" s="108">
        <f t="shared" si="16"/>
        <v>49909.114934975034</v>
      </c>
      <c r="D234" s="108" t="str">
        <f t="shared" si="17"/>
        <v>-0.591472879350027-0.426188224496656i</v>
      </c>
      <c r="E234" s="108">
        <f t="shared" si="18"/>
        <v>-2.7451587671282214</v>
      </c>
      <c r="F234" s="108">
        <f t="shared" si="19"/>
        <v>-144.22520862066924</v>
      </c>
      <c r="G234" s="108">
        <v>0.9</v>
      </c>
      <c r="H234" s="112">
        <f t="shared" si="30"/>
        <v>7.9432823472428176</v>
      </c>
      <c r="I234" s="112">
        <f t="shared" si="31"/>
        <v>49.909114934975051</v>
      </c>
      <c r="J234" s="112">
        <f>(CALCULATIONS!$C$127*10^3)/((CALCULATIONS!$C$123*10^6)+(CALCULATIONS!$C$127*10^3))</f>
        <v>1.2782694198623401E-2</v>
      </c>
      <c r="K234" s="112" t="str">
        <f t="shared" si="20"/>
        <v>24.1591131610372-143.254038932353i</v>
      </c>
      <c r="L234" s="108">
        <f t="shared" si="21"/>
        <v>43.243932257643543</v>
      </c>
      <c r="M234" s="108" t="str">
        <f t="shared" si="22"/>
        <v>0.308818555647477-1.83117257238996i</v>
      </c>
      <c r="N234" s="108">
        <f t="shared" si="23"/>
        <v>5.3763802453253939</v>
      </c>
      <c r="O234" s="108">
        <f t="shared" si="24"/>
        <v>-80.427412755889378</v>
      </c>
      <c r="P234" s="108" t="str">
        <f>IMPRODUCT(42*10^-6,IMDIV((COMPLEX(1,I234*(CALCULATIONS!C267*10^3)*(CALCULATIONS!C265*10^-6))),IMPRODUCT((COMPLEX(0,data!I234*((CALCULATIONS!C265*10^-6)+(CALCULATIONS!C271*10^-6)))),(COMPLEX(1,I234*((CALCULATIONS!C267*10^3)*(CALCULATIONS!C265*10^-6)*(CALCULATIONS!C271*10^-6))/((CALCULATIONS!C265*10^-6)+(CALCULATIONS!C271*10^-6)))))))</f>
        <v>0.787782881650514-0.486508307229025i</v>
      </c>
      <c r="Q234" s="108">
        <f t="shared" si="25"/>
        <v>-0.66871126823689031</v>
      </c>
      <c r="R234" s="108" t="str">
        <f t="shared" si="26"/>
        <v>-0.64759869676254-1.59280919862571i</v>
      </c>
      <c r="S234" s="108">
        <f t="shared" si="27"/>
        <v>4.7076689770884874</v>
      </c>
      <c r="T234" s="108">
        <f t="shared" si="28"/>
        <v>67.874499302153325</v>
      </c>
    </row>
    <row r="235" spans="1:20" x14ac:dyDescent="0.2">
      <c r="A235" s="108">
        <v>4</v>
      </c>
      <c r="B235" s="108">
        <f t="shared" si="29"/>
        <v>10000</v>
      </c>
      <c r="C235" s="108">
        <f t="shared" si="16"/>
        <v>62831.853071795864</v>
      </c>
      <c r="D235" s="108" t="str">
        <f t="shared" si="17"/>
        <v>-0.427055851849631-0.244428187582535i</v>
      </c>
      <c r="E235" s="108">
        <f t="shared" si="18"/>
        <v>-6.1596603526059521</v>
      </c>
      <c r="F235" s="108">
        <f t="shared" si="19"/>
        <v>-150.21505595860444</v>
      </c>
      <c r="G235" s="111">
        <v>1</v>
      </c>
      <c r="H235" s="113">
        <f t="shared" si="30"/>
        <v>10</v>
      </c>
      <c r="I235" s="113">
        <f t="shared" si="31"/>
        <v>62.831853071795862</v>
      </c>
      <c r="J235" s="113">
        <f>(CALCULATIONS!$C$127*10^3)/((CALCULATIONS!$C$123*10^6)+(CALCULATIONS!$C$127*10^3))</f>
        <v>1.2782694198623401E-2</v>
      </c>
      <c r="K235" s="112" t="str">
        <f t="shared" si="20"/>
        <v>15.4005441299689-114.964022997222i</v>
      </c>
      <c r="L235" s="111">
        <f t="shared" si="21"/>
        <v>41.28848303258814</v>
      </c>
      <c r="M235" s="108" t="str">
        <f t="shared" si="22"/>
        <v>0.196860446105797-1.469549949817i</v>
      </c>
      <c r="N235" s="111">
        <f t="shared" si="23"/>
        <v>3.4209310202700034</v>
      </c>
      <c r="O235" s="108">
        <f t="shared" si="24"/>
        <v>-82.370099161137318</v>
      </c>
      <c r="P235" s="111" t="str">
        <f>IMPRODUCT(42*10^-6,IMDIV((COMPLEX(1,I235*(CALCULATIONS!C267*10^3)*(CALCULATIONS!C265*10^-6))),IMPRODUCT((COMPLEX(0,data!I235*((CALCULATIONS!C265*10^-6)+(CALCULATIONS!C271*10^-6)))),(COMPLEX(1,I235*((CALCULATIONS!C267*10^3)*(CALCULATIONS!C265*10^-6)*(CALCULATIONS!C271*10^-6))/((CALCULATIONS!C265*10^-6)+(CALCULATIONS!C271*10^-6)))))))</f>
        <v>0.733231874067202-0.499953037122848i</v>
      </c>
      <c r="Q235" s="108">
        <f t="shared" si="25"/>
        <v>-1.0370420682669206</v>
      </c>
      <c r="R235" s="108" t="str">
        <f t="shared" si="26"/>
        <v>-0.590361606786879-1.17594184165963i</v>
      </c>
      <c r="S235" s="108">
        <f t="shared" si="27"/>
        <v>2.3838889520030619</v>
      </c>
      <c r="T235" s="108">
        <f t="shared" si="28"/>
        <v>63.341838914402217</v>
      </c>
    </row>
    <row r="236" spans="1:20" x14ac:dyDescent="0.2">
      <c r="A236" s="108">
        <v>4.0999999999999996</v>
      </c>
      <c r="B236" s="108">
        <f t="shared" si="29"/>
        <v>12589.254117941671</v>
      </c>
      <c r="C236" s="108">
        <f t="shared" si="16"/>
        <v>79100.616502201214</v>
      </c>
      <c r="D236" s="108" t="str">
        <f t="shared" si="17"/>
        <v>-0.296449838201373-0.134777633923279i</v>
      </c>
      <c r="E236" s="108">
        <f t="shared" si="18"/>
        <v>-9.7449949489441217</v>
      </c>
      <c r="F236" s="108">
        <f t="shared" si="19"/>
        <v>-155.55160723816434</v>
      </c>
      <c r="G236" s="108">
        <v>1.1000000000000001</v>
      </c>
      <c r="H236" s="112">
        <f t="shared" si="30"/>
        <v>12.58925411794168</v>
      </c>
      <c r="I236" s="112">
        <f t="shared" si="31"/>
        <v>79.100616502201262</v>
      </c>
      <c r="J236" s="112">
        <f>(CALCULATIONS!$C$127*10^3)/((CALCULATIONS!$C$123*10^6)+(CALCULATIONS!$C$127*10^3))</f>
        <v>1.2782694198623401E-2</v>
      </c>
      <c r="K236" s="112" t="str">
        <f t="shared" si="20"/>
        <v>9.78071777554177-91.9171636958579i</v>
      </c>
      <c r="L236" s="108">
        <f t="shared" si="21"/>
        <v>39.316829651543749</v>
      </c>
      <c r="M236" s="108" t="str">
        <f t="shared" si="22"/>
        <v>0.125023924367791-1.17494899512896i</v>
      </c>
      <c r="N236" s="108">
        <f t="shared" si="23"/>
        <v>1.4492776392255933</v>
      </c>
      <c r="O236" s="108">
        <f t="shared" si="24"/>
        <v>-83.926128355339188</v>
      </c>
      <c r="P236" s="108" t="str">
        <f>IMPRODUCT(42*10^-6,IMDIV((COMPLEX(1,I236*(CALCULATIONS!C267*10^3)*(CALCULATIONS!C265*10^-6))),IMPRODUCT((COMPLEX(0,data!I236*((CALCULATIONS!C265*10^-6)+(CALCULATIONS!C271*10^-6)))),(COMPLEX(1,I236*((CALCULATIONS!C267*10^3)*(CALCULATIONS!C265*10^-6)*(CALCULATIONS!C271*10^-6))/((CALCULATIONS!C265*10^-6)+(CALCULATIONS!C271*10^-6)))))))</f>
        <v>0.660719313829105-0.516974135377766i</v>
      </c>
      <c r="Q236" s="108">
        <f t="shared" si="25"/>
        <v>-1.5254316714607628</v>
      </c>
      <c r="R236" s="108" t="str">
        <f t="shared" si="26"/>
        <v>-0.52481251934926-0.840945629047377i</v>
      </c>
      <c r="S236" s="108">
        <f t="shared" si="27"/>
        <v>-7.6154032235169256E-2</v>
      </c>
      <c r="T236" s="108">
        <f t="shared" si="28"/>
        <v>58.03277458953383</v>
      </c>
    </row>
    <row r="237" spans="1:20" x14ac:dyDescent="0.2">
      <c r="A237" s="108">
        <v>4.2</v>
      </c>
      <c r="B237" s="108">
        <f t="shared" si="29"/>
        <v>15848.931924611146</v>
      </c>
      <c r="C237" s="108">
        <f t="shared" ref="C237:C265" si="32">2*PI()*B237</f>
        <v>99581.776203206231</v>
      </c>
      <c r="D237" s="108" t="str">
        <f t="shared" ref="D237:D265" si="33">IMDIV((7*Rsense*Vout_nom)/((1/(fsw/kHz)*kHz)*M1M2_calc*Lbst*mH),IMPRODUCT((COMPLEX(0,C237*1)),COMPLEX(1,(C237/(2*PI()*f_iavgactual*kHz)))))</f>
        <v>-0.199669035934418-0.0721069840738528i</v>
      </c>
      <c r="E237" s="108">
        <f t="shared" ref="E237:E265" si="34">20*LOG(IMABS(D237))</f>
        <v>-13.461399915153345</v>
      </c>
      <c r="F237" s="108">
        <f t="shared" ref="F237:F265" si="35">180/PI()*IMARGUMENT(D237)</f>
        <v>-160.14370000441946</v>
      </c>
      <c r="G237" s="108">
        <v>1.2</v>
      </c>
      <c r="H237" s="112">
        <f t="shared" si="30"/>
        <v>15.848931924611136</v>
      </c>
      <c r="I237" s="112">
        <f>2*PI()*H237</f>
        <v>99.581776203206175</v>
      </c>
      <c r="J237" s="112">
        <f>(CALCULATIONS!$C$127*10^3)/((CALCULATIONS!$C$123*10^6)+(CALCULATIONS!$C$127*10^3))</f>
        <v>1.2782694198623401E-2</v>
      </c>
      <c r="K237" s="112" t="str">
        <f t="shared" ref="K237:K265" si="36">IMDIV((M_3*Vout_nom)/(M1M2_calc),COMPLEX(1,(I237/(2*PI()*fPWM_PSpole))))</f>
        <v>6.19681948383881-73.3153196632958i</v>
      </c>
      <c r="L237" s="108">
        <f t="shared" ref="L237:L265" si="37">20*LOG(IMABS(K237))</f>
        <v>37.334810828553991</v>
      </c>
      <c r="M237" s="108" t="str">
        <f t="shared" si="22"/>
        <v>0.0792120484659828-0.937167311330231i</v>
      </c>
      <c r="N237" s="108">
        <f t="shared" ref="N237:N265" si="38">20*LOG(IMABS(M237))</f>
        <v>-0.53274118376417146</v>
      </c>
      <c r="O237" s="108">
        <f t="shared" ref="O237:O265" si="39">180/PI()*IMARGUMENT(M237)</f>
        <v>-85.168680967418808</v>
      </c>
      <c r="P237" s="108" t="str">
        <f>IMPRODUCT(42*10^-6,IMDIV((COMPLEX(1,I237*(CALCULATIONS!C267*10^3)*(CALCULATIONS!C265*10^-6))),IMPRODUCT((COMPLEX(0,data!I237*((CALCULATIONS!C265*10^-6)+(CALCULATIONS!C271*10^-6)))),(COMPLEX(1,I237*((CALCULATIONS!C267*10^3)*(CALCULATIONS!C265*10^-6)*(CALCULATIONS!C271*10^-6))/((CALCULATIONS!C265*10^-6)+(CALCULATIONS!C271*10^-6)))))))</f>
        <v>0.571192273463456-0.528182723563589i</v>
      </c>
      <c r="Q237" s="108">
        <f t="shared" ref="Q237:Q265" si="40">20*LOG(IMABS(P237))</f>
        <v>-2.1807409758015246</v>
      </c>
      <c r="R237" s="108" t="str">
        <f t="shared" si="26"/>
        <v>-0.449750272884185-0.577141162672163i</v>
      </c>
      <c r="S237" s="108">
        <f t="shared" ref="S237:S265" si="41">20*LOG(IMABS(R237))</f>
        <v>-2.7134821595656966</v>
      </c>
      <c r="T237" s="108">
        <f t="shared" ref="T237:T265" si="42">(180/PI()*IMARGUMENT(R237))+180</f>
        <v>52.07169165152979</v>
      </c>
    </row>
    <row r="238" spans="1:20" x14ac:dyDescent="0.2">
      <c r="A238" s="108">
        <v>4.3</v>
      </c>
      <c r="B238" s="108">
        <f t="shared" si="29"/>
        <v>19952.623149688792</v>
      </c>
      <c r="C238" s="108">
        <f t="shared" si="32"/>
        <v>125366.0286138159</v>
      </c>
      <c r="D238" s="108" t="str">
        <f t="shared" si="33"/>
        <v>-0.131585093727934-0.0377462058827911i</v>
      </c>
      <c r="E238" s="108">
        <f t="shared" si="34"/>
        <v>-17.272440183893899</v>
      </c>
      <c r="F238" s="108">
        <f t="shared" si="35"/>
        <v>-163.99405052373282</v>
      </c>
      <c r="G238" s="108">
        <v>1.3</v>
      </c>
      <c r="H238" s="112">
        <f t="shared" si="30"/>
        <v>19.952623149688804</v>
      </c>
      <c r="I238" s="112">
        <f t="shared" si="31"/>
        <v>125.36602861381597</v>
      </c>
      <c r="J238" s="112">
        <f>(CALCULATIONS!$C$127*10^3)/((CALCULATIONS!$C$123*10^6)+(CALCULATIONS!$C$127*10^3))</f>
        <v>1.2782694198623401E-2</v>
      </c>
      <c r="K238" s="112" t="str">
        <f t="shared" si="36"/>
        <v>3.92019096392671-58.3892787426139i</v>
      </c>
      <c r="L238" s="108">
        <f t="shared" si="37"/>
        <v>35.346194610022806</v>
      </c>
      <c r="M238" s="108" t="str">
        <f t="shared" si="22"/>
        <v>0.0501106022920818-0.746372294645015i</v>
      </c>
      <c r="N238" s="108">
        <f t="shared" si="38"/>
        <v>-2.5213574022953522</v>
      </c>
      <c r="O238" s="108">
        <f t="shared" si="39"/>
        <v>-86.15898971606758</v>
      </c>
      <c r="P238" s="108" t="str">
        <f>IMPRODUCT(42*10^-6,IMDIV((COMPLEX(1,I238*(CALCULATIONS!C267*10^3)*(CALCULATIONS!C265*10^-6))),IMPRODUCT((COMPLEX(0,data!I238*((CALCULATIONS!C265*10^-6)+(CALCULATIONS!C271*10^-6)))),(COMPLEX(1,I238*((CALCULATIONS!C267*10^3)*(CALCULATIONS!C265*10^-6)*(CALCULATIONS!C271*10^-6))/((CALCULATIONS!C265*10^-6)+(CALCULATIONS!C271*10^-6)))))))</f>
        <v>0.470213073547753-0.524854972162756i</v>
      </c>
      <c r="Q238" s="108">
        <f t="shared" si="40"/>
        <v>-3.0401683112519455</v>
      </c>
      <c r="R238" s="108" t="str">
        <f t="shared" si="26"/>
        <v>-0.368174549607873-0.377254809446991i</v>
      </c>
      <c r="S238" s="108">
        <f t="shared" si="41"/>
        <v>-5.5615257135472964</v>
      </c>
      <c r="T238" s="108">
        <f t="shared" si="42"/>
        <v>45.697899578359198</v>
      </c>
    </row>
    <row r="239" spans="1:20" x14ac:dyDescent="0.2">
      <c r="A239" s="108">
        <v>4.4000000000000004</v>
      </c>
      <c r="B239" s="108">
        <f t="shared" si="29"/>
        <v>25118.86431509586</v>
      </c>
      <c r="C239" s="108">
        <f t="shared" si="32"/>
        <v>157826.47919764792</v>
      </c>
      <c r="D239" s="108" t="str">
        <f t="shared" si="33"/>
        <v>-0.0854213925985178-0.0194640520614547i</v>
      </c>
      <c r="E239" s="108">
        <f t="shared" si="34"/>
        <v>-21.148840652259416</v>
      </c>
      <c r="F239" s="108">
        <f t="shared" si="35"/>
        <v>-167.16378478884616</v>
      </c>
      <c r="G239" s="108">
        <v>1.4</v>
      </c>
      <c r="H239" s="112">
        <f t="shared" si="30"/>
        <v>25.118864315095799</v>
      </c>
      <c r="I239" s="112">
        <f t="shared" si="31"/>
        <v>157.82647919764753</v>
      </c>
      <c r="J239" s="112">
        <f>(CALCULATIONS!$C$127*10^3)/((CALCULATIONS!$C$123*10^6)+(CALCULATIONS!$C$127*10^3))</f>
        <v>1.2782694198623401E-2</v>
      </c>
      <c r="K239" s="112" t="str">
        <f t="shared" si="36"/>
        <v>2.47757625272588-46.4571878009977i</v>
      </c>
      <c r="L239" s="108">
        <f t="shared" si="37"/>
        <v>33.353392674242755</v>
      </c>
      <c r="M239" s="108" t="str">
        <f t="shared" si="22"/>
        <v>0.0316700995923662-0.593848024988171i</v>
      </c>
      <c r="N239" s="108">
        <f t="shared" si="38"/>
        <v>-4.5141593380754035</v>
      </c>
      <c r="O239" s="108">
        <f t="shared" si="39"/>
        <v>-86.947290186699561</v>
      </c>
      <c r="P239" s="108" t="str">
        <f>IMPRODUCT(42*10^-6,IMDIV((COMPLEX(1,I239*(CALCULATIONS!C267*10^3)*(CALCULATIONS!C265*10^-6))),IMPRODUCT((COMPLEX(0,data!I239*((CALCULATIONS!C265*10^-6)+(CALCULATIONS!C271*10^-6)))),(COMPLEX(1,I239*((CALCULATIONS!C267*10^3)*(CALCULATIONS!C265*10^-6)*(CALCULATIONS!C271*10^-6))/((CALCULATIONS!C265*10^-6)+(CALCULATIONS!C271*10^-6)))))))</f>
        <v>0.367300003555143-0.502155404159938i</v>
      </c>
      <c r="Q239" s="108">
        <f t="shared" si="40"/>
        <v>-4.1221122520277147</v>
      </c>
      <c r="R239" s="108" t="str">
        <f t="shared" si="26"/>
        <v>-0.286571567304648-0.23402369334996i</v>
      </c>
      <c r="S239" s="108">
        <f t="shared" si="41"/>
        <v>-8.6362715901031208</v>
      </c>
      <c r="T239" s="108">
        <f t="shared" si="42"/>
        <v>39.236197273480229</v>
      </c>
    </row>
    <row r="240" spans="1:20" x14ac:dyDescent="0.2">
      <c r="A240" s="108">
        <v>4.5</v>
      </c>
      <c r="B240" s="108">
        <f t="shared" si="29"/>
        <v>31622.77660168384</v>
      </c>
      <c r="C240" s="108">
        <f t="shared" si="32"/>
        <v>198691.7653159223</v>
      </c>
      <c r="D240" s="108" t="str">
        <f t="shared" si="33"/>
        <v>-0.0548972029161278-0.00993611998805766i</v>
      </c>
      <c r="E240" s="108">
        <f t="shared" si="34"/>
        <v>-25.069004953977224</v>
      </c>
      <c r="F240" s="108">
        <f t="shared" si="35"/>
        <v>-169.74081495189813</v>
      </c>
      <c r="G240" s="108">
        <v>1.5</v>
      </c>
      <c r="H240" s="112">
        <f t="shared" si="30"/>
        <v>31.622776601683803</v>
      </c>
      <c r="I240" s="112">
        <f t="shared" si="31"/>
        <v>198.69176531592208</v>
      </c>
      <c r="J240" s="112">
        <f>(CALCULATIONS!$C$127*10^3)/((CALCULATIONS!$C$123*10^6)+(CALCULATIONS!$C$127*10^3))</f>
        <v>1.2782694198623401E-2</v>
      </c>
      <c r="K240" s="112" t="str">
        <f t="shared" si="36"/>
        <v>1.56488277956583-36.9409192885227i</v>
      </c>
      <c r="L240" s="108">
        <f t="shared" si="37"/>
        <v>31.357940491873542</v>
      </c>
      <c r="M240" s="108" t="str">
        <f t="shared" si="22"/>
        <v>0.0200034180278818-0.472204474681214i</v>
      </c>
      <c r="N240" s="108">
        <f t="shared" si="38"/>
        <v>-6.5096115204446203</v>
      </c>
      <c r="O240" s="108">
        <f t="shared" si="39"/>
        <v>-87.574299579317938</v>
      </c>
      <c r="P240" s="108" t="str">
        <f>IMPRODUCT(42*10^-6,IMDIV((COMPLEX(1,I240*(CALCULATIONS!C267*10^3)*(CALCULATIONS!C265*10^-6))),IMPRODUCT((COMPLEX(0,data!I240*((CALCULATIONS!C265*10^-6)+(CALCULATIONS!C271*10^-6)))),(COMPLEX(1,I240*((CALCULATIONS!C267*10^3)*(CALCULATIONS!C265*10^-6)*(CALCULATIONS!C271*10^-6))/((CALCULATIONS!C265*10^-6)+(CALCULATIONS!C271*10^-6)))))))</f>
        <v>0.272704880842583-0.461118258795797i</v>
      </c>
      <c r="Q240" s="108">
        <f t="shared" si="40"/>
        <v>-5.4212112876524383</v>
      </c>
      <c r="R240" s="108" t="str">
        <f t="shared" si="26"/>
        <v>-0.212287075430848-0.137996406292256i</v>
      </c>
      <c r="S240" s="108">
        <f t="shared" si="41"/>
        <v>-11.93082280809705</v>
      </c>
      <c r="T240" s="108">
        <f t="shared" si="42"/>
        <v>33.025728294632671</v>
      </c>
    </row>
    <row r="241" spans="1:20" x14ac:dyDescent="0.2">
      <c r="A241" s="108">
        <v>4.5999999999999996</v>
      </c>
      <c r="B241" s="108">
        <f t="shared" si="29"/>
        <v>39810.717055349742</v>
      </c>
      <c r="C241" s="108">
        <f t="shared" si="32"/>
        <v>250138.11247045727</v>
      </c>
      <c r="D241" s="108" t="str">
        <f t="shared" si="33"/>
        <v>-0.0350480681324363-0.00503884146640648i</v>
      </c>
      <c r="E241" s="108">
        <f t="shared" si="34"/>
        <v>-29.017866281160238</v>
      </c>
      <c r="F241" s="108">
        <f t="shared" si="35"/>
        <v>-171.81867829956474</v>
      </c>
      <c r="G241" s="108">
        <v>1.6</v>
      </c>
      <c r="H241" s="112">
        <f t="shared" si="30"/>
        <v>39.810717055349755</v>
      </c>
      <c r="I241" s="112">
        <f t="shared" si="31"/>
        <v>250.13811247045734</v>
      </c>
      <c r="J241" s="112">
        <f>(CALCULATIONS!$C$127*10^3)/((CALCULATIONS!$C$123*10^6)+(CALCULATIONS!$C$127*10^3))</f>
        <v>1.2782694198623401E-2</v>
      </c>
      <c r="K241" s="112" t="str">
        <f t="shared" si="36"/>
        <v>0.988027436347093-29.3626259001657i</v>
      </c>
      <c r="L241" s="108">
        <f t="shared" si="37"/>
        <v>29.360812423130632</v>
      </c>
      <c r="M241" s="108" t="str">
        <f t="shared" si="22"/>
        <v>0.0126296525786747-0.375333467750397i</v>
      </c>
      <c r="N241" s="108">
        <f t="shared" si="38"/>
        <v>-8.5067395891875339</v>
      </c>
      <c r="O241" s="108">
        <f t="shared" si="39"/>
        <v>-88.072772814371461</v>
      </c>
      <c r="P241" s="108" t="str">
        <f>IMPRODUCT(42*10^-6,IMDIV((COMPLEX(1,I241*(CALCULATIONS!C267*10^3)*(CALCULATIONS!C265*10^-6))),IMPRODUCT((COMPLEX(0,data!I241*((CALCULATIONS!C265*10^-6)+(CALCULATIONS!C271*10^-6)))),(COMPLEX(1,I241*((CALCULATIONS!C267*10^3)*(CALCULATIONS!C265*10^-6)*(CALCULATIONS!C271*10^-6))/((CALCULATIONS!C265*10^-6)+(CALCULATIONS!C271*10^-6)))))))</f>
        <v>0.193658191654243-0.407593398443886i</v>
      </c>
      <c r="Q241" s="108">
        <f t="shared" si="40"/>
        <v>-6.9114571181770144</v>
      </c>
      <c r="R241" s="108" t="str">
        <f t="shared" si="26"/>
        <v>-0.150537607990506-0.0778341636475656i</v>
      </c>
      <c r="S241" s="108">
        <f t="shared" si="41"/>
        <v>-15.418196707364524</v>
      </c>
      <c r="T241" s="108">
        <f t="shared" si="42"/>
        <v>27.340831913107905</v>
      </c>
    </row>
    <row r="242" spans="1:20" x14ac:dyDescent="0.2">
      <c r="A242" s="108">
        <v>4.7</v>
      </c>
      <c r="B242" s="108">
        <f t="shared" si="29"/>
        <v>50118.723362727294</v>
      </c>
      <c r="C242" s="108">
        <f t="shared" si="32"/>
        <v>314905.22624728642</v>
      </c>
      <c r="D242" s="108" t="str">
        <f t="shared" si="33"/>
        <v>-0.0222803483907543-0.00254441875265653i</v>
      </c>
      <c r="E242" s="108">
        <f t="shared" si="34"/>
        <v>-32.98528735062834</v>
      </c>
      <c r="F242" s="108">
        <f t="shared" si="35"/>
        <v>-173.48503851425923</v>
      </c>
      <c r="G242" s="108">
        <v>1.7</v>
      </c>
      <c r="H242" s="112">
        <f t="shared" si="30"/>
        <v>50.118723362727238</v>
      </c>
      <c r="I242" s="112">
        <f t="shared" si="31"/>
        <v>314.90522624728607</v>
      </c>
      <c r="J242" s="112">
        <f>(CALCULATIONS!$C$127*10^3)/((CALCULATIONS!$C$123*10^6)+(CALCULATIONS!$C$127*10^3))</f>
        <v>1.2782694198623401E-2</v>
      </c>
      <c r="K242" s="112" t="str">
        <f t="shared" si="36"/>
        <v>0.623663473189808-23.3333016897027i</v>
      </c>
      <c r="L242" s="108">
        <f t="shared" si="37"/>
        <v>27.362625466921664</v>
      </c>
      <c r="M242" s="108" t="str">
        <f t="shared" si="22"/>
        <v>0.00797209946063668-0.298262460143692i</v>
      </c>
      <c r="N242" s="108">
        <f t="shared" si="38"/>
        <v>-10.504926545396508</v>
      </c>
      <c r="O242" s="108">
        <f t="shared" si="39"/>
        <v>-88.46893596320227</v>
      </c>
      <c r="P242" s="108" t="str">
        <f>IMPRODUCT(42*10^-6,IMDIV((COMPLEX(1,I242*(CALCULATIONS!C267*10^3)*(CALCULATIONS!C265*10^-6))),IMPRODUCT((COMPLEX(0,data!I242*((CALCULATIONS!C265*10^-6)+(CALCULATIONS!C271*10^-6)))),(COMPLEX(1,I242*((CALCULATIONS!C267*10^3)*(CALCULATIONS!C265*10^-6)*(CALCULATIONS!C271*10^-6))/((CALCULATIONS!C265*10^-6)+(CALCULATIONS!C271*10^-6)))))))</f>
        <v>0.132697150988808-0.34907150650424i</v>
      </c>
      <c r="Q242" s="108">
        <f t="shared" si="40"/>
        <v>-8.5555205023577692</v>
      </c>
      <c r="R242" s="108" t="str">
        <f t="shared" si="26"/>
        <v>-0.103057051410194-0.0423614114767069i</v>
      </c>
      <c r="S242" s="108">
        <f t="shared" si="41"/>
        <v>-19.060447047754238</v>
      </c>
      <c r="T242" s="108">
        <f t="shared" si="42"/>
        <v>22.345022968708093</v>
      </c>
    </row>
    <row r="243" spans="1:20" x14ac:dyDescent="0.2">
      <c r="A243" s="108">
        <v>4.8</v>
      </c>
      <c r="B243" s="108">
        <f t="shared" si="29"/>
        <v>63095.734448019342</v>
      </c>
      <c r="C243" s="108">
        <f t="shared" si="32"/>
        <v>396442.19162950001</v>
      </c>
      <c r="D243" s="108" t="str">
        <f t="shared" si="33"/>
        <v>-0.01412505720698-0.00128131770043892i</v>
      </c>
      <c r="E243" s="108">
        <f t="shared" si="34"/>
        <v>-36.964604971399325</v>
      </c>
      <c r="F243" s="108">
        <f t="shared" si="35"/>
        <v>-174.81674903487314</v>
      </c>
      <c r="G243" s="108">
        <v>1.8</v>
      </c>
      <c r="H243" s="112">
        <f t="shared" si="30"/>
        <v>63.095734448019364</v>
      </c>
      <c r="I243" s="112">
        <f t="shared" si="31"/>
        <v>396.44219162950014</v>
      </c>
      <c r="J243" s="112">
        <f>(CALCULATIONS!$C$127*10^3)/((CALCULATIONS!$C$123*10^6)+(CALCULATIONS!$C$127*10^3))</f>
        <v>1.2782694198623401E-2</v>
      </c>
      <c r="K243" s="112" t="str">
        <f t="shared" si="36"/>
        <v>0.393608749042322-18.5391846745076i</v>
      </c>
      <c r="L243" s="108">
        <f t="shared" si="37"/>
        <v>25.363769809784014</v>
      </c>
      <c r="M243" s="108" t="str">
        <f t="shared" si="22"/>
        <v>0.0050313802729107-0.236980728386036i</v>
      </c>
      <c r="N243" s="108">
        <f t="shared" si="38"/>
        <v>-12.503782202534151</v>
      </c>
      <c r="O243" s="108">
        <f t="shared" si="39"/>
        <v>-88.783725775533952</v>
      </c>
      <c r="P243" s="108" t="str">
        <f>IMPRODUCT(42*10^-6,IMDIV((COMPLEX(1,I243*(CALCULATIONS!C267*10^3)*(CALCULATIONS!C265*10^-6))),IMPRODUCT((COMPLEX(0,data!I243*((CALCULATIONS!C265*10^-6)+(CALCULATIONS!C271*10^-6)))),(COMPLEX(1,I243*((CALCULATIONS!C267*10^3)*(CALCULATIONS!C265*10^-6)*(CALCULATIONS!C271*10^-6))/((CALCULATIONS!C265*10^-6)+(CALCULATIONS!C271*10^-6)))))))</f>
        <v>0.0885294858128343-0.291842656988287i</v>
      </c>
      <c r="Q243" s="108">
        <f t="shared" si="40"/>
        <v>-10.314721939621167</v>
      </c>
      <c r="R243" s="108" t="str">
        <f t="shared" si="26"/>
        <v>-0.0687156599187107-0.0224481534187314i</v>
      </c>
      <c r="S243" s="108">
        <f t="shared" si="41"/>
        <v>-22.818504142155316</v>
      </c>
      <c r="T243" s="108">
        <f t="shared" si="42"/>
        <v>18.091271290492216</v>
      </c>
    </row>
    <row r="244" spans="1:20" x14ac:dyDescent="0.2">
      <c r="A244" s="108">
        <v>4.9000000000000004</v>
      </c>
      <c r="B244" s="108">
        <f t="shared" si="29"/>
        <v>79432.823472428237</v>
      </c>
      <c r="C244" s="108">
        <f t="shared" si="32"/>
        <v>499091.14934975083</v>
      </c>
      <c r="D244" s="108" t="str">
        <f t="shared" si="33"/>
        <v>-0.0089392332929876-0.000644120144559526i</v>
      </c>
      <c r="E244" s="108">
        <f t="shared" si="34"/>
        <v>-40.951504410517018</v>
      </c>
      <c r="F244" s="108">
        <f t="shared" si="35"/>
        <v>-175.87865176595551</v>
      </c>
      <c r="G244" s="108">
        <v>1.9</v>
      </c>
      <c r="H244" s="112">
        <f t="shared" si="30"/>
        <v>79.432823472428197</v>
      </c>
      <c r="I244" s="112">
        <f t="shared" si="31"/>
        <v>499.09114934975059</v>
      </c>
      <c r="J244" s="112">
        <f>(CALCULATIONS!$C$127*10^3)/((CALCULATIONS!$C$123*10^6)+(CALCULATIONS!$C$127*10^3))</f>
        <v>1.2782694198623401E-2</v>
      </c>
      <c r="K244" s="112" t="str">
        <f t="shared" si="36"/>
        <v>0.248391632579826-14.7286468534152i</v>
      </c>
      <c r="L244" s="108">
        <f t="shared" si="37"/>
        <v>23.364491996494444</v>
      </c>
      <c r="M244" s="108" t="str">
        <f t="shared" si="22"/>
        <v>0.00317511428076474-0.188271788686723i</v>
      </c>
      <c r="N244" s="108">
        <f t="shared" si="38"/>
        <v>-14.503060015823724</v>
      </c>
      <c r="O244" s="108">
        <f t="shared" si="39"/>
        <v>-89.033825486263467</v>
      </c>
      <c r="P244" s="108" t="str">
        <f>IMPRODUCT(42*10^-6,IMDIV((COMPLEX(1,I244*(CALCULATIONS!C267*10^3)*(CALCULATIONS!C265*10^-6))),IMPRODUCT((COMPLEX(0,data!I244*((CALCULATIONS!C265*10^-6)+(CALCULATIONS!C271*10^-6)))),(COMPLEX(1,I244*((CALCULATIONS!C267*10^3)*(CALCULATIONS!C265*10^-6)*(CALCULATIONS!C271*10^-6))/((CALCULATIONS!C265*10^-6)+(CALCULATIONS!C271*10^-6)))))))</f>
        <v>0.0579561709952791-0.239827481356294i</v>
      </c>
      <c r="Q244" s="108">
        <f t="shared" si="40"/>
        <v>-12.155529030651302</v>
      </c>
      <c r="R244" s="108" t="str">
        <f t="shared" si="26"/>
        <v>-0.0449687314249956-0.011672991639689i</v>
      </c>
      <c r="S244" s="108">
        <f t="shared" si="41"/>
        <v>-26.658589046475033</v>
      </c>
      <c r="T244" s="108">
        <f t="shared" si="42"/>
        <v>14.551683354224849</v>
      </c>
    </row>
    <row r="245" spans="1:20" x14ac:dyDescent="0.2">
      <c r="A245" s="108">
        <v>5</v>
      </c>
      <c r="B245" s="108">
        <f t="shared" si="29"/>
        <v>100000</v>
      </c>
      <c r="C245" s="108">
        <f t="shared" si="32"/>
        <v>628318.53071795858</v>
      </c>
      <c r="D245" s="108" t="str">
        <f t="shared" si="33"/>
        <v>-0.00565104673468054-0.000323441326308889i</v>
      </c>
      <c r="E245" s="108">
        <f t="shared" si="34"/>
        <v>-44.943218135745546</v>
      </c>
      <c r="F245" s="108">
        <f t="shared" si="35"/>
        <v>-176.72421283772945</v>
      </c>
      <c r="G245" s="108">
        <v>2</v>
      </c>
      <c r="H245" s="112">
        <f t="shared" si="30"/>
        <v>100</v>
      </c>
      <c r="I245" s="112">
        <f t="shared" si="31"/>
        <v>628.31853071795865</v>
      </c>
      <c r="J245" s="112">
        <f>(CALCULATIONS!$C$127*10^3)/((CALCULATIONS!$C$123*10^6)+(CALCULATIONS!$C$127*10^3))</f>
        <v>1.2782694198623401E-2</v>
      </c>
      <c r="K245" s="112" t="str">
        <f t="shared" si="36"/>
        <v>0.15674097177511-11.7006078043016i</v>
      </c>
      <c r="L245" s="108">
        <f t="shared" si="37"/>
        <v>21.364947727302471</v>
      </c>
      <c r="M245" s="108" t="str">
        <f t="shared" si="22"/>
        <v>0.00200357191059629-0.149565291500414i</v>
      </c>
      <c r="N245" s="108">
        <f t="shared" si="38"/>
        <v>-16.502604285015671</v>
      </c>
      <c r="O245" s="108">
        <f t="shared" si="39"/>
        <v>-89.232513458078088</v>
      </c>
      <c r="P245" s="108" t="str">
        <f>IMPRODUCT(42*10^-6,IMDIV((COMPLEX(1,I245*(CALCULATIONS!C267*10^3)*(CALCULATIONS!C265*10^-6))),IMPRODUCT((COMPLEX(0,data!I245*((CALCULATIONS!C265*10^-6)+(CALCULATIONS!C271*10^-6)))),(COMPLEX(1,I245*((CALCULATIONS!C267*10^3)*(CALCULATIONS!C265*10^-6)*(CALCULATIONS!C271*10^-6))/((CALCULATIONS!C265*10^-6)+(CALCULATIONS!C271*10^-6)))))))</f>
        <v>0.0374554356450736-0.194767383181767i</v>
      </c>
      <c r="Q245" s="108">
        <f t="shared" si="40"/>
        <v>-14.051960790957212</v>
      </c>
      <c r="R245" s="108" t="str">
        <f t="shared" si="26"/>
        <v>-0.0290553957815962-0.00599226360857376i</v>
      </c>
      <c r="S245" s="108">
        <f t="shared" si="41"/>
        <v>-30.554565075972882</v>
      </c>
      <c r="T245" s="108">
        <f t="shared" si="42"/>
        <v>11.653061723187136</v>
      </c>
    </row>
    <row r="246" spans="1:20" x14ac:dyDescent="0.2">
      <c r="A246" s="108">
        <v>5.0999999999999996</v>
      </c>
      <c r="B246" s="108">
        <f t="shared" si="29"/>
        <v>125892.54117941685</v>
      </c>
      <c r="C246" s="108">
        <f t="shared" si="32"/>
        <v>791006.16502201289</v>
      </c>
      <c r="D246" s="108" t="str">
        <f t="shared" si="33"/>
        <v>-0.0035698711592885-0.000162300236417409i</v>
      </c>
      <c r="E246" s="108">
        <f t="shared" si="34"/>
        <v>-48.937981703298462</v>
      </c>
      <c r="F246" s="108">
        <f t="shared" si="35"/>
        <v>-177.39690339104465</v>
      </c>
      <c r="G246" s="108">
        <v>2.1</v>
      </c>
      <c r="H246" s="112">
        <f t="shared" si="30"/>
        <v>125.89254117941677</v>
      </c>
      <c r="I246" s="112">
        <f t="shared" si="31"/>
        <v>791.0061650220124</v>
      </c>
      <c r="J246" s="112">
        <f>(CALCULATIONS!$C$127*10^3)/((CALCULATIONS!$C$123*10^6)+(CALCULATIONS!$C$127*10^3))</f>
        <v>1.2782694198623401E-2</v>
      </c>
      <c r="K246" s="112" t="str">
        <f t="shared" si="36"/>
        <v>0.0989034160686178-9.29473858001706i</v>
      </c>
      <c r="L246" s="108">
        <f t="shared" si="37"/>
        <v>19.365235298611154</v>
      </c>
      <c r="M246" s="108" t="str">
        <f t="shared" si="22"/>
        <v>0.00126425212280436-0.118811800924505i</v>
      </c>
      <c r="N246" s="108">
        <f t="shared" si="38"/>
        <v>-18.502316713707017</v>
      </c>
      <c r="O246" s="108">
        <f t="shared" si="39"/>
        <v>-89.39035031373129</v>
      </c>
      <c r="P246" s="108" t="str">
        <f>IMPRODUCT(42*10^-6,IMDIV((COMPLEX(1,I246*(CALCULATIONS!C267*10^3)*(CALCULATIONS!C265*10^-6))),IMPRODUCT((COMPLEX(0,data!I246*((CALCULATIONS!C265*10^-6)+(CALCULATIONS!C271*10^-6)))),(COMPLEX(1,I246*((CALCULATIONS!C267*10^3)*(CALCULATIONS!C265*10^-6)*(CALCULATIONS!C271*10^-6))/((CALCULATIONS!C265*10^-6)+(CALCULATIONS!C271*10^-6)))))))</f>
        <v>0.0240003328724977-0.156933064375313i</v>
      </c>
      <c r="Q246" s="108">
        <f t="shared" si="40"/>
        <v>-15.985304830114831</v>
      </c>
      <c r="R246" s="108" t="str">
        <f t="shared" si="26"/>
        <v>-0.0186151575312501-0.00304992573114373i</v>
      </c>
      <c r="S246" s="108">
        <f t="shared" si="41"/>
        <v>-34.487621543821874</v>
      </c>
      <c r="T246" s="108">
        <f t="shared" si="42"/>
        <v>9.3047263799012114</v>
      </c>
    </row>
    <row r="247" spans="1:20" x14ac:dyDescent="0.2">
      <c r="A247" s="108">
        <v>5.2</v>
      </c>
      <c r="B247" s="108">
        <f t="shared" si="29"/>
        <v>158489.31924611164</v>
      </c>
      <c r="C247" s="108">
        <f t="shared" si="32"/>
        <v>995817.76203206345</v>
      </c>
      <c r="D247" s="108" t="str">
        <f t="shared" si="33"/>
        <v>-0.00225415234391526-0.0000814047738559335i</v>
      </c>
      <c r="E247" s="108">
        <f t="shared" si="34"/>
        <v>-52.934674486208081</v>
      </c>
      <c r="F247" s="108">
        <f t="shared" si="35"/>
        <v>-177.93176181651961</v>
      </c>
      <c r="G247" s="108">
        <v>2.2000000000000002</v>
      </c>
      <c r="H247" s="112">
        <f t="shared" si="30"/>
        <v>158.48931924611153</v>
      </c>
      <c r="I247" s="112">
        <f t="shared" si="31"/>
        <v>995.81776203206277</v>
      </c>
      <c r="J247" s="112">
        <f>(CALCULATIONS!$C$127*10^3)/((CALCULATIONS!$C$123*10^6)+(CALCULATIONS!$C$127*10^3))</f>
        <v>1.2782694198623401E-2</v>
      </c>
      <c r="K247" s="112" t="str">
        <f t="shared" si="36"/>
        <v>0.0624064441470499-7.38338177128284i</v>
      </c>
      <c r="L247" s="108">
        <f t="shared" si="37"/>
        <v>17.365416753638446</v>
      </c>
      <c r="M247" s="108" t="str">
        <f t="shared" si="22"/>
        <v>0.00079772249155521-0.0943795113339989i</v>
      </c>
      <c r="N247" s="108">
        <f t="shared" si="38"/>
        <v>-20.502135258679715</v>
      </c>
      <c r="O247" s="108">
        <f t="shared" si="39"/>
        <v>-89.515731296368614</v>
      </c>
      <c r="P247" s="108" t="str">
        <f>IMPRODUCT(42*10^-6,IMDIV((COMPLEX(1,I247*(CALCULATIONS!C267*10^3)*(CALCULATIONS!C265*10^-6))),IMPRODUCT((COMPLEX(0,data!I247*((CALCULATIONS!C265*10^-6)+(CALCULATIONS!C271*10^-6)))),(COMPLEX(1,I247*((CALCULATIONS!C267*10^3)*(CALCULATIONS!C265*10^-6)*(CALCULATIONS!C271*10^-6))/((CALCULATIONS!C265*10^-6)+(CALCULATIONS!C271*10^-6)))))))</f>
        <v>0.0152932592413429-0.125799472120474i</v>
      </c>
      <c r="Q247" s="108">
        <f t="shared" si="40"/>
        <v>-17.942709289193498</v>
      </c>
      <c r="R247" s="108" t="str">
        <f t="shared" si="26"/>
        <v>-0.0118606929279393-0.00154372340223838i</v>
      </c>
      <c r="S247" s="108">
        <f t="shared" si="41"/>
        <v>-38.444844547873245</v>
      </c>
      <c r="T247" s="108">
        <f t="shared" si="42"/>
        <v>7.4156210503687134</v>
      </c>
    </row>
    <row r="248" spans="1:20" x14ac:dyDescent="0.2">
      <c r="A248" s="108">
        <v>5.3</v>
      </c>
      <c r="B248" s="108">
        <f t="shared" si="29"/>
        <v>199526.23149688813</v>
      </c>
      <c r="C248" s="108">
        <f t="shared" si="32"/>
        <v>1253660.2861381602</v>
      </c>
      <c r="D248" s="108" t="str">
        <f t="shared" si="33"/>
        <v>-0.00142295794504161-0.0000408186535681219i</v>
      </c>
      <c r="E248" s="108">
        <f t="shared" si="34"/>
        <v>-56.932586476703648</v>
      </c>
      <c r="F248" s="108">
        <f t="shared" si="35"/>
        <v>-178.35687667049723</v>
      </c>
      <c r="G248" s="108">
        <v>2.2999999999999998</v>
      </c>
      <c r="H248" s="112">
        <f t="shared" si="30"/>
        <v>199.52623149688802</v>
      </c>
      <c r="I248" s="112">
        <f t="shared" si="31"/>
        <v>1253.6602861381596</v>
      </c>
      <c r="J248" s="112">
        <f>(CALCULATIONS!$C$127*10^3)/((CALCULATIONS!$C$123*10^6)+(CALCULATIONS!$C$127*10^3))</f>
        <v>1.2782694198623401E-2</v>
      </c>
      <c r="K248" s="112" t="str">
        <f t="shared" si="36"/>
        <v>0.0393768423666285-5.86498322685289i</v>
      </c>
      <c r="L248" s="108">
        <f t="shared" si="37"/>
        <v>15.365531247921687</v>
      </c>
      <c r="M248" s="108" t="str">
        <f t="shared" si="22"/>
        <v>0.00050334213448001-0.074970287068916i</v>
      </c>
      <c r="N248" s="108">
        <f t="shared" si="38"/>
        <v>-22.50202076439647</v>
      </c>
      <c r="O248" s="108">
        <f t="shared" si="39"/>
        <v>-89.61532831509804</v>
      </c>
      <c r="P248" s="108" t="str">
        <f>IMPRODUCT(42*10^-6,IMDIV((COMPLEX(1,I248*(CALCULATIONS!C267*10^3)*(CALCULATIONS!C265*10^-6))),IMPRODUCT((COMPLEX(0,data!I248*((CALCULATIONS!C265*10^-6)+(CALCULATIONS!C271*10^-6)))),(COMPLEX(1,I248*((CALCULATIONS!C267*10^3)*(CALCULATIONS!C265*10^-6)*(CALCULATIONS!C271*10^-6))/((CALCULATIONS!C265*10^-6)+(CALCULATIONS!C271*10^-6)))))))</f>
        <v>0.00971011110450364-0.100508302171777i</v>
      </c>
      <c r="Q248" s="108">
        <f t="shared" si="40"/>
        <v>-19.915614387104451</v>
      </c>
      <c r="R248" s="108" t="str">
        <f t="shared" si="26"/>
        <v>-0.0075302487585781-0.000778559880323811i</v>
      </c>
      <c r="S248" s="108">
        <f t="shared" si="41"/>
        <v>-42.417635151500917</v>
      </c>
      <c r="T248" s="108">
        <f t="shared" si="42"/>
        <v>5.9028936566070627</v>
      </c>
    </row>
    <row r="249" spans="1:20" x14ac:dyDescent="0.2">
      <c r="A249" s="108">
        <v>5.4</v>
      </c>
      <c r="B249" s="108">
        <f t="shared" si="29"/>
        <v>251188.64315095844</v>
      </c>
      <c r="C249" s="108">
        <f t="shared" si="32"/>
        <v>1578264.7919764782</v>
      </c>
      <c r="D249" s="108" t="str">
        <f t="shared" si="33"/>
        <v>-0.000898098272534217-0.0000204639973678114i</v>
      </c>
      <c r="E249" s="108">
        <f t="shared" si="34"/>
        <v>-60.931268515057013</v>
      </c>
      <c r="F249" s="108">
        <f t="shared" si="35"/>
        <v>-178.6946886993517</v>
      </c>
      <c r="G249" s="108">
        <v>2.4</v>
      </c>
      <c r="H249" s="112">
        <f t="shared" si="30"/>
        <v>251.18864315095806</v>
      </c>
      <c r="I249" s="112">
        <f t="shared" si="31"/>
        <v>1578.2647919764759</v>
      </c>
      <c r="J249" s="112">
        <f>(CALCULATIONS!$C$127*10^3)/((CALCULATIONS!$C$123*10^6)+(CALCULATIONS!$C$127*10^3))</f>
        <v>1.2782694198623401E-2</v>
      </c>
      <c r="K249" s="112" t="str">
        <f t="shared" si="36"/>
        <v>0.0248455211821692-4.65879926926072i</v>
      </c>
      <c r="L249" s="108">
        <f t="shared" si="37"/>
        <v>13.365603490483696</v>
      </c>
      <c r="M249" s="108" t="str">
        <f t="shared" si="22"/>
        <v>0.000317592699477089-0.0595520063917299i</v>
      </c>
      <c r="N249" s="108">
        <f t="shared" si="38"/>
        <v>-24.501948521834468</v>
      </c>
      <c r="O249" s="108">
        <f t="shared" si="39"/>
        <v>-89.694442725319234</v>
      </c>
      <c r="P249" s="108" t="str">
        <f>IMPRODUCT(42*10^-6,IMDIV((COMPLEX(1,I249*(CALCULATIONS!C267*10^3)*(CALCULATIONS!C265*10^-6))),IMPRODUCT((COMPLEX(0,data!I249*((CALCULATIONS!C265*10^-6)+(CALCULATIONS!C271*10^-6)))),(COMPLEX(1,I249*((CALCULATIONS!C267*10^3)*(CALCULATIONS!C265*10^-6)*(CALCULATIONS!C271*10^-6))/((CALCULATIONS!C265*10^-6)+(CALCULATIONS!C271*10^-6)))))))</f>
        <v>0.00615108678783396-0.0801313948454141i</v>
      </c>
      <c r="Q249" s="108">
        <f t="shared" si="40"/>
        <v>-21.898430323838589</v>
      </c>
      <c r="R249" s="108" t="str">
        <f t="shared" si="26"/>
        <v>-0.00477003179775467-0.000391758705706993i</v>
      </c>
      <c r="S249" s="108">
        <f t="shared" si="41"/>
        <v>-46.400378845673053</v>
      </c>
      <c r="T249" s="108">
        <f t="shared" si="42"/>
        <v>4.6951166774568378</v>
      </c>
    </row>
    <row r="250" spans="1:20" x14ac:dyDescent="0.2">
      <c r="A250" s="108">
        <v>5.5</v>
      </c>
      <c r="B250" s="108">
        <f t="shared" si="29"/>
        <v>316227.7660168382</v>
      </c>
      <c r="C250" s="108">
        <f t="shared" si="32"/>
        <v>1986917.6531592219</v>
      </c>
      <c r="D250" s="108" t="str">
        <f t="shared" si="33"/>
        <v>-0.000566770241516031-0.0000102582587567668i</v>
      </c>
      <c r="E250" s="108">
        <f t="shared" si="34"/>
        <v>-64.930436731634643</v>
      </c>
      <c r="F250" s="108">
        <f t="shared" si="35"/>
        <v>-178.96308817891574</v>
      </c>
      <c r="G250" s="108">
        <v>2.5</v>
      </c>
      <c r="H250" s="112">
        <f t="shared" si="30"/>
        <v>316.22776601683825</v>
      </c>
      <c r="I250" s="112">
        <f t="shared" si="31"/>
        <v>1986.917653159222</v>
      </c>
      <c r="J250" s="112">
        <f>(CALCULATIONS!$C$127*10^3)/((CALCULATIONS!$C$123*10^6)+(CALCULATIONS!$C$127*10^3))</f>
        <v>1.2782694198623401E-2</v>
      </c>
      <c r="K250" s="112" t="str">
        <f t="shared" si="36"/>
        <v>0.0156766286049096-3.70065464053982i</v>
      </c>
      <c r="L250" s="108">
        <f t="shared" si="37"/>
        <v>11.365649073077142</v>
      </c>
      <c r="M250" s="108" t="str">
        <f t="shared" si="22"/>
        <v>0.000200389549521952-0.0473043366047371i</v>
      </c>
      <c r="N250" s="108">
        <f t="shared" si="38"/>
        <v>-26.501902939241017</v>
      </c>
      <c r="O250" s="108">
        <f t="shared" si="39"/>
        <v>-89.75728638023827</v>
      </c>
      <c r="P250" s="108" t="str">
        <f>IMPRODUCT(42*10^-6,IMDIV((COMPLEX(1,I250*(CALCULATIONS!C267*10^3)*(CALCULATIONS!C265*10^-6))),IMPRODUCT((COMPLEX(0,data!I250*((CALCULATIONS!C265*10^-6)+(CALCULATIONS!C271*10^-6)))),(COMPLEX(1,I250*((CALCULATIONS!C267*10^3)*(CALCULATIONS!C265*10^-6)*(CALCULATIONS!C271*10^-6))/((CALCULATIONS!C265*10^-6)+(CALCULATIONS!C271*10^-6)))))))</f>
        <v>0.00389085887186084-0.0637993487124122i</v>
      </c>
      <c r="Q250" s="108">
        <f t="shared" si="40"/>
        <v>-23.8875524450571</v>
      </c>
      <c r="R250" s="108" t="str">
        <f t="shared" si="26"/>
        <v>-0.00301720617919836-0.000196839220504307i</v>
      </c>
      <c r="S250" s="108">
        <f t="shared" si="41"/>
        <v>-50.389455384298131</v>
      </c>
      <c r="T250" s="108">
        <f t="shared" si="42"/>
        <v>3.7326242924837061</v>
      </c>
    </row>
    <row r="251" spans="1:20" x14ac:dyDescent="0.2">
      <c r="A251" s="108">
        <v>5.6</v>
      </c>
      <c r="B251" s="108">
        <f t="shared" si="29"/>
        <v>398107.17055349716</v>
      </c>
      <c r="C251" s="108">
        <f t="shared" si="32"/>
        <v>2501381.124704571</v>
      </c>
      <c r="D251" s="108" t="str">
        <f t="shared" si="33"/>
        <v>-0.000357651070727765-5.14192976023091E-06i</v>
      </c>
      <c r="E251" s="108">
        <f t="shared" si="34"/>
        <v>-68.92991182979452</v>
      </c>
      <c r="F251" s="108">
        <f t="shared" si="35"/>
        <v>-179.17631847884189</v>
      </c>
      <c r="G251" s="108">
        <v>2.6</v>
      </c>
      <c r="H251" s="112">
        <f t="shared" si="30"/>
        <v>398.10717055349761</v>
      </c>
      <c r="I251" s="112">
        <f t="shared" si="31"/>
        <v>2501.3811247045737</v>
      </c>
      <c r="J251" s="112">
        <f>(CALCULATIONS!$C$127*10^3)/((CALCULATIONS!$C$123*10^6)+(CALCULATIONS!$C$127*10^3))</f>
        <v>1.2782694198623401E-2</v>
      </c>
      <c r="K251" s="112" t="str">
        <f t="shared" si="36"/>
        <v>0.00989134945966838-2.93955393491744i</v>
      </c>
      <c r="L251" s="108">
        <f t="shared" si="37"/>
        <v>9.3656778339954023</v>
      </c>
      <c r="M251" s="108" t="str">
        <f t="shared" si="22"/>
        <v>0.00012643809535466-0.0375754190304097i</v>
      </c>
      <c r="N251" s="108">
        <f t="shared" si="38"/>
        <v>-28.501874178322769</v>
      </c>
      <c r="O251" s="108">
        <f t="shared" si="39"/>
        <v>-89.807205293279921</v>
      </c>
      <c r="P251" s="108" t="str">
        <f>IMPRODUCT(42*10^-6,IMDIV((COMPLEX(1,I251*(CALCULATIONS!C267*10^3)*(CALCULATIONS!C265*10^-6))),IMPRODUCT((COMPLEX(0,data!I251*((CALCULATIONS!C265*10^-6)+(CALCULATIONS!C271*10^-6)))),(COMPLEX(1,I251*((CALCULATIONS!C267*10^3)*(CALCULATIONS!C265*10^-6)*(CALCULATIONS!C271*10^-6))/((CALCULATIONS!C265*10^-6)+(CALCULATIONS!C271*10^-6)))))))</f>
        <v>0.00245887769916678-0.0507524672487302i</v>
      </c>
      <c r="Q251" s="108">
        <f t="shared" si="40"/>
        <v>-25.880674771178384</v>
      </c>
      <c r="R251" s="108" t="str">
        <f t="shared" si="26"/>
        <v>-0.00190673432788519-0.0000988104051842006i</v>
      </c>
      <c r="S251" s="108">
        <f t="shared" si="41"/>
        <v>-54.382548949501142</v>
      </c>
      <c r="T251" s="108">
        <f t="shared" si="42"/>
        <v>2.9665168056241953</v>
      </c>
    </row>
    <row r="252" spans="1:20" x14ac:dyDescent="0.2">
      <c r="A252" s="108">
        <v>5.7</v>
      </c>
      <c r="B252" s="108">
        <f t="shared" si="29"/>
        <v>501187.23362727347</v>
      </c>
      <c r="C252" s="108">
        <f t="shared" si="32"/>
        <v>3149052.2624728675</v>
      </c>
      <c r="D252" s="108" t="str">
        <f t="shared" si="33"/>
        <v>-0.000225679781097514-2.57726610486136E-06i</v>
      </c>
      <c r="E252" s="108">
        <f t="shared" si="34"/>
        <v>-72.929580606477984</v>
      </c>
      <c r="F252" s="108">
        <f t="shared" si="35"/>
        <v>-179.34570987758232</v>
      </c>
      <c r="G252" s="108">
        <v>2.7</v>
      </c>
      <c r="H252" s="112">
        <f t="shared" si="30"/>
        <v>501.18723362727269</v>
      </c>
      <c r="I252" s="112">
        <f t="shared" si="31"/>
        <v>3149.0522624728624</v>
      </c>
      <c r="J252" s="112">
        <f>(CALCULATIONS!$C$127*10^3)/((CALCULATIONS!$C$123*10^6)+(CALCULATIONS!$C$127*10^3))</f>
        <v>1.2782694198623401E-2</v>
      </c>
      <c r="K252" s="112" t="str">
        <f t="shared" si="36"/>
        <v>0.00624104566657534-2.33498044470362i</v>
      </c>
      <c r="L252" s="108">
        <f t="shared" si="37"/>
        <v>7.3656959810059996</v>
      </c>
      <c r="M252" s="108" t="str">
        <f t="shared" si="22"/>
        <v>0.0000797773782354763-0.0298473409844121i</v>
      </c>
      <c r="N252" s="108">
        <f t="shared" si="38"/>
        <v>-30.501856031312144</v>
      </c>
      <c r="O252" s="108">
        <f t="shared" si="39"/>
        <v>-89.846857507644572</v>
      </c>
      <c r="P252" s="108" t="str">
        <f>IMPRODUCT(42*10^-6,IMDIV((COMPLEX(1,I252*(CALCULATIONS!C267*10^3)*(CALCULATIONS!C265*10^-6))),IMPRODUCT((COMPLEX(0,data!I252*((CALCULATIONS!C265*10^-6)+(CALCULATIONS!C271*10^-6)))),(COMPLEX(1,I252*((CALCULATIONS!C267*10^3)*(CALCULATIONS!C265*10^-6)*(CALCULATIONS!C271*10^-6))/((CALCULATIONS!C265*10^-6)+(CALCULATIONS!C271*10^-6)))))))</f>
        <v>0.0015530082773683-0.0403517257571205i</v>
      </c>
      <c r="Q252" s="108">
        <f t="shared" si="40"/>
        <v>-27.876329581342816</v>
      </c>
      <c r="R252" s="108" t="str">
        <f t="shared" si="26"/>
        <v>-0.00120426782305351-0.0000495723224944061i</v>
      </c>
      <c r="S252" s="108">
        <f t="shared" si="41"/>
        <v>-58.378185612654988</v>
      </c>
      <c r="T252" s="108">
        <f t="shared" si="42"/>
        <v>2.357185154936758</v>
      </c>
    </row>
    <row r="253" spans="1:20" x14ac:dyDescent="0.2">
      <c r="A253" s="108">
        <v>5.8</v>
      </c>
      <c r="B253" s="108">
        <f t="shared" si="29"/>
        <v>630957.34448019415</v>
      </c>
      <c r="C253" s="108">
        <f t="shared" si="32"/>
        <v>3964421.9162950045</v>
      </c>
      <c r="D253" s="108" t="str">
        <f t="shared" si="33"/>
        <v>-0.000142401168162802-0.0000012917550326098i</v>
      </c>
      <c r="E253" s="108">
        <f t="shared" si="34"/>
        <v>-76.92937160569511</v>
      </c>
      <c r="F253" s="108">
        <f t="shared" si="35"/>
        <v>-179.48027054482148</v>
      </c>
      <c r="G253" s="108">
        <v>2.8</v>
      </c>
      <c r="H253" s="112">
        <f t="shared" si="30"/>
        <v>630.95734448019323</v>
      </c>
      <c r="I253" s="112">
        <f t="shared" si="31"/>
        <v>3964.4219162949989</v>
      </c>
      <c r="J253" s="112">
        <f>(CALCULATIONS!$C$127*10^3)/((CALCULATIONS!$C$123*10^6)+(CALCULATIONS!$C$127*10^3))</f>
        <v>1.2782694198623401E-2</v>
      </c>
      <c r="K253" s="112" t="str">
        <f t="shared" si="36"/>
        <v>0.00393784398254217-1.85474578472588i</v>
      </c>
      <c r="L253" s="108">
        <f t="shared" si="37"/>
        <v>5.3657074310346626</v>
      </c>
      <c r="M253" s="108" t="str">
        <f t="shared" si="22"/>
        <v>0.0000503362554307259-0.0237086481823367i</v>
      </c>
      <c r="N253" s="108">
        <f t="shared" si="38"/>
        <v>-32.5018445812835</v>
      </c>
      <c r="O253" s="108">
        <f t="shared" si="39"/>
        <v>-89.878354487481232</v>
      </c>
      <c r="P253" s="108" t="str">
        <f>IMPRODUCT(42*10^-6,IMDIV((COMPLEX(1,I253*(CALCULATIONS!C267*10^3)*(CALCULATIONS!C265*10^-6))),IMPRODUCT((COMPLEX(0,data!I253*((CALCULATIONS!C265*10^-6)+(CALCULATIONS!C271*10^-6)))),(COMPLEX(1,I253*((CALCULATIONS!C267*10^3)*(CALCULATIONS!C265*10^-6)*(CALCULATIONS!C271*10^-6))/((CALCULATIONS!C265*10^-6)+(CALCULATIONS!C271*10^-6)))))))</f>
        <v>0.000980504577741742-0.0320713947149678i</v>
      </c>
      <c r="Q253" s="108">
        <f t="shared" si="40"/>
        <v>-29.873585689369492</v>
      </c>
      <c r="R253" s="108" t="str">
        <f t="shared" si="26"/>
        <v>-0.000760320059085148-0.0000248607919912418i</v>
      </c>
      <c r="S253" s="108">
        <f t="shared" si="41"/>
        <v>-62.375430270652991</v>
      </c>
      <c r="T253" s="108">
        <f t="shared" si="42"/>
        <v>1.8727786117486289</v>
      </c>
    </row>
    <row r="254" spans="1:20" x14ac:dyDescent="0.2">
      <c r="A254" s="108">
        <v>5.9</v>
      </c>
      <c r="B254" s="108">
        <f t="shared" si="29"/>
        <v>794328.23472428333</v>
      </c>
      <c r="C254" s="108">
        <f t="shared" si="32"/>
        <v>4990911.4934975151</v>
      </c>
      <c r="D254" s="108" t="str">
        <f t="shared" si="33"/>
        <v>-0.0000898517912693347-6.47430790588457E-07i</v>
      </c>
      <c r="E254" s="108">
        <f t="shared" si="34"/>
        <v>-80.929239729940747</v>
      </c>
      <c r="F254" s="108">
        <f t="shared" si="35"/>
        <v>-179.58716004061836</v>
      </c>
      <c r="G254" s="108">
        <v>2.9</v>
      </c>
      <c r="H254" s="112">
        <f t="shared" si="30"/>
        <v>794.32823472428208</v>
      </c>
      <c r="I254" s="112">
        <f t="shared" si="31"/>
        <v>4990.9114934975069</v>
      </c>
      <c r="J254" s="112">
        <f>(CALCULATIONS!$C$127*10^3)/((CALCULATIONS!$C$123*10^6)+(CALCULATIONS!$C$127*10^3))</f>
        <v>1.2782694198623401E-2</v>
      </c>
      <c r="K254" s="112" t="str">
        <f t="shared" si="36"/>
        <v>0.00248461571536062-1.47327939584405i</v>
      </c>
      <c r="L254" s="108">
        <f t="shared" si="37"/>
        <v>3.3657146555298656</v>
      </c>
      <c r="M254" s="108" t="str">
        <f t="shared" ref="M254:M265" si="43">IMPRODUCT(J254,K254)</f>
        <v>0.0000317600828905487-0.0188324799862071i</v>
      </c>
      <c r="N254" s="108">
        <f t="shared" si="38"/>
        <v>-34.5018373567883</v>
      </c>
      <c r="O254" s="108">
        <f t="shared" si="39"/>
        <v>-89.903373481199367</v>
      </c>
      <c r="P254" s="108" t="str">
        <f>IMPRODUCT(42*10^-6,IMDIV((COMPLEX(1,I254*(CALCULATIONS!C267*10^3)*(CALCULATIONS!C265*10^-6))),IMPRODUCT((COMPLEX(0,data!I254*((CALCULATIONS!C265*10^-6)+(CALCULATIONS!C271*10^-6)))),(COMPLEX(1,I254*((CALCULATIONS!C267*10^3)*(CALCULATIONS!C265*10^-6)*(CALCULATIONS!C271*10^-6))/((CALCULATIONS!C265*10^-6)+(CALCULATIONS!C271*10^-6)))))))</f>
        <v>0.000618904682744464-0.0254846863861854i</v>
      </c>
      <c r="Q254" s="108">
        <f t="shared" si="40"/>
        <v>-31.871853508618628</v>
      </c>
      <c r="R254" s="108" t="str">
        <f t="shared" si="26"/>
        <v>-0.000479920189858576-0.0000124649058032199i</v>
      </c>
      <c r="S254" s="108">
        <f t="shared" si="41"/>
        <v>-66.373690865406928</v>
      </c>
      <c r="T254" s="108">
        <f t="shared" si="42"/>
        <v>1.487801472479191</v>
      </c>
    </row>
    <row r="255" spans="1:20" x14ac:dyDescent="0.2">
      <c r="A255" s="108">
        <v>6</v>
      </c>
      <c r="B255" s="108">
        <f t="shared" si="29"/>
        <v>1000000</v>
      </c>
      <c r="C255" s="108">
        <f t="shared" si="32"/>
        <v>6283185.307179586</v>
      </c>
      <c r="D255" s="108" t="str">
        <f t="shared" si="33"/>
        <v>-0.0000566937338473551-3.24490264015279E-07i</v>
      </c>
      <c r="E255" s="108">
        <f t="shared" si="34"/>
        <v>-84.929156519904552</v>
      </c>
      <c r="F255" s="108">
        <f t="shared" si="35"/>
        <v>-179.67206746945962</v>
      </c>
      <c r="G255" s="108">
        <v>3</v>
      </c>
      <c r="H255" s="112">
        <f t="shared" si="30"/>
        <v>1000</v>
      </c>
      <c r="I255" s="112">
        <f t="shared" si="31"/>
        <v>6283.1853071795858</v>
      </c>
      <c r="J255" s="112">
        <f>(CALCULATIONS!$C$127*10^3)/((CALCULATIONS!$C$123*10^6)+(CALCULATIONS!$C$127*10^3))</f>
        <v>1.2782694198623401E-2</v>
      </c>
      <c r="K255" s="112" t="str">
        <f t="shared" si="36"/>
        <v>0.00156768817926221-1.17026865006968i</v>
      </c>
      <c r="L255" s="108">
        <f t="shared" si="37"/>
        <v>1.3657192138843186</v>
      </c>
      <c r="M255" s="108" t="str">
        <f t="shared" si="43"/>
        <v>0.0000200392785943055-0.0149591862840765i</v>
      </c>
      <c r="N255" s="108">
        <f t="shared" si="38"/>
        <v>-36.50183279843386</v>
      </c>
      <c r="O255" s="108">
        <f t="shared" si="39"/>
        <v>-89.92324680104015</v>
      </c>
      <c r="P255" s="108" t="str">
        <f>IMPRODUCT(42*10^-6,IMDIV((COMPLEX(1,I255*(CALCULATIONS!C267*10^3)*(CALCULATIONS!C265*10^-6))),IMPRODUCT((COMPLEX(0,data!I255*((CALCULATIONS!C265*10^-6)+(CALCULATIONS!C271*10^-6)))),(COMPLEX(1,I255*((CALCULATIONS!C267*10^3)*(CALCULATIONS!C265*10^-6)*(CALCULATIONS!C271*10^-6))/((CALCULATIONS!C265*10^-6)+(CALCULATIONS!C271*10^-6)))))))</f>
        <v>0.000390601297342137-0.020247956319735i</v>
      </c>
      <c r="Q255" s="108">
        <f t="shared" si="40"/>
        <v>-33.870760217067193</v>
      </c>
      <c r="R255" s="108" t="str">
        <f t="shared" si="26"/>
        <v>-0.000302885123090543-6.24883200739948E-06i</v>
      </c>
      <c r="S255" s="108">
        <f t="shared" si="41"/>
        <v>-70.372593015501053</v>
      </c>
      <c r="T255" s="108">
        <f t="shared" si="42"/>
        <v>1.1819032666950307</v>
      </c>
    </row>
    <row r="256" spans="1:20" x14ac:dyDescent="0.2">
      <c r="A256" s="108">
        <v>6.1000000000000103</v>
      </c>
      <c r="B256" s="108">
        <f t="shared" si="29"/>
        <v>1258925.4117941989</v>
      </c>
      <c r="C256" s="108">
        <f t="shared" si="32"/>
        <v>7910061.6502203206</v>
      </c>
      <c r="D256" s="108" t="str">
        <f t="shared" si="33"/>
        <v>-0.0000357717602069621-1.62632343846657E-07i</v>
      </c>
      <c r="E256" s="108">
        <f t="shared" si="34"/>
        <v>-88.929104017101139</v>
      </c>
      <c r="F256" s="108">
        <f t="shared" si="35"/>
        <v>-179.73951288221045</v>
      </c>
      <c r="G256" s="108">
        <v>3.1</v>
      </c>
      <c r="H256" s="112">
        <f t="shared" si="30"/>
        <v>1258.925411794168</v>
      </c>
      <c r="I256" s="112">
        <f t="shared" si="31"/>
        <v>7910.0616502201265</v>
      </c>
      <c r="J256" s="112">
        <f>(CALCULATIONS!$C$127*10^3)/((CALCULATIONS!$C$123*10^6)+(CALCULATIONS!$C$127*10^3))</f>
        <v>1.2782694198623401E-2</v>
      </c>
      <c r="K256" s="112" t="str">
        <f t="shared" si="36"/>
        <v>0.000989145025624649-0.929578046578981i</v>
      </c>
      <c r="L256" s="108">
        <f t="shared" si="37"/>
        <v>-0.63427790998594646</v>
      </c>
      <c r="M256" s="108" t="str">
        <f t="shared" si="43"/>
        <v>0.0000126439383806494-0.0118825119031728i</v>
      </c>
      <c r="N256" s="108">
        <f t="shared" si="38"/>
        <v>-38.501829922304111</v>
      </c>
      <c r="O256" s="108">
        <f t="shared" si="39"/>
        <v>-89.939032753502204</v>
      </c>
      <c r="P256" s="108" t="str">
        <f>IMPRODUCT(42*10^-6,IMDIV((COMPLEX(1,I256*(CALCULATIONS!C267*10^3)*(CALCULATIONS!C265*10^-6))),IMPRODUCT((COMPLEX(0,data!I256*((CALCULATIONS!C265*10^-6)+(CALCULATIONS!C271*10^-6)))),(COMPLEX(1,I256*((CALCULATIONS!C267*10^3)*(CALCULATIONS!C265*10^-6)*(CALCULATIONS!C271*10^-6))/((CALCULATIONS!C265*10^-6)+(CALCULATIONS!C271*10^-6)))))))</f>
        <v>0.000246492123369562-0.0160859052080863i</v>
      </c>
      <c r="Q256" s="108">
        <f t="shared" si="40"/>
        <v>-35.870070253581922</v>
      </c>
      <c r="R256" s="108" t="str">
        <f t="shared" si="26"/>
        <v>-0.000191137843477176-3.13233478422517E-06i</v>
      </c>
      <c r="S256" s="108">
        <f t="shared" si="41"/>
        <v>-74.371900175886026</v>
      </c>
      <c r="T256" s="108">
        <f t="shared" si="42"/>
        <v>0.93886954202972106</v>
      </c>
    </row>
    <row r="257" spans="1:20" x14ac:dyDescent="0.2">
      <c r="A257" s="108">
        <v>6.2000000000000099</v>
      </c>
      <c r="B257" s="108">
        <f t="shared" si="29"/>
        <v>1584893.1924611519</v>
      </c>
      <c r="C257" s="108">
        <f t="shared" si="32"/>
        <v>9958177.6203208584</v>
      </c>
      <c r="D257" s="108" t="str">
        <f t="shared" si="33"/>
        <v>-0.0000225706269923955-8.15098762540257E-08i</v>
      </c>
      <c r="E257" s="108">
        <f t="shared" si="34"/>
        <v>-92.929070889744878</v>
      </c>
      <c r="F257" s="108">
        <f t="shared" si="35"/>
        <v>-179.79308720145698</v>
      </c>
      <c r="G257" s="108">
        <v>3.2</v>
      </c>
      <c r="H257" s="112">
        <f t="shared" si="30"/>
        <v>1584.8931924611156</v>
      </c>
      <c r="I257" s="112">
        <f t="shared" si="31"/>
        <v>9958.17762032063</v>
      </c>
      <c r="J257" s="112">
        <f>(CALCULATIONS!$C$127*10^3)/((CALCULATIONS!$C$123*10^6)+(CALCULATIONS!$C$127*10^3))</f>
        <v>1.2782694198623401E-2</v>
      </c>
      <c r="K257" s="112" t="str">
        <f t="shared" si="36"/>
        <v>0.000624108579460026-0.73839039731672i</v>
      </c>
      <c r="L257" s="108">
        <f t="shared" si="37"/>
        <v>-2.6342760952698248</v>
      </c>
      <c r="M257" s="108" t="str">
        <f t="shared" si="43"/>
        <v>7.97778911797477E-06-0.00943861864809967i</v>
      </c>
      <c r="N257" s="108">
        <f t="shared" si="38"/>
        <v>-40.501828107587976</v>
      </c>
      <c r="O257" s="108">
        <f t="shared" si="39"/>
        <v>-89.951571987968123</v>
      </c>
      <c r="P257" s="108" t="str">
        <f>IMPRODUCT(42*10^-6,IMDIV((COMPLEX(1,I257*(CALCULATIONS!C267*10^3)*(CALCULATIONS!C265*10^-6))),IMPRODUCT((COMPLEX(0,data!I257*((CALCULATIONS!C265*10^-6)+(CALCULATIONS!C271*10^-6)))),(COMPLEX(1,I257*((CALCULATIONS!C267*10^3)*(CALCULATIONS!C265*10^-6)*(CALCULATIONS!C271*10^-6))/((CALCULATIONS!C265*10^-6)+(CALCULATIONS!C271*10^-6)))))))</f>
        <v>0.000155541691585708-0.0127786827305871i</v>
      </c>
      <c r="Q257" s="108">
        <f t="shared" si="40"/>
        <v>-37.869634859044368</v>
      </c>
      <c r="R257" s="108" t="str">
        <f t="shared" si="26"/>
        <v>-0.000120611872240254-1.57004434678796E-06i</v>
      </c>
      <c r="S257" s="108">
        <f t="shared" si="41"/>
        <v>-78.37146296663235</v>
      </c>
      <c r="T257" s="108">
        <f t="shared" si="42"/>
        <v>0.74579585304132934</v>
      </c>
    </row>
    <row r="258" spans="1:20" x14ac:dyDescent="0.2">
      <c r="A258" s="108">
        <v>6.3000000000000096</v>
      </c>
      <c r="B258" s="108">
        <f t="shared" si="29"/>
        <v>1995262.3149689261</v>
      </c>
      <c r="C258" s="108">
        <f t="shared" si="32"/>
        <v>12536602.861381885</v>
      </c>
      <c r="D258" s="108" t="str">
        <f t="shared" si="33"/>
        <v>-0.0000142411714112803-4.08519060079658E-08i</v>
      </c>
      <c r="E258" s="108">
        <f t="shared" si="34"/>
        <v>-96.92904998766609</v>
      </c>
      <c r="F258" s="108">
        <f t="shared" si="35"/>
        <v>-179.83564305831445</v>
      </c>
      <c r="G258" s="108">
        <v>3.3</v>
      </c>
      <c r="H258" s="112">
        <f t="shared" si="30"/>
        <v>1995.2623149688804</v>
      </c>
      <c r="I258" s="112">
        <f t="shared" si="31"/>
        <v>12536.602861381598</v>
      </c>
      <c r="J258" s="112">
        <f>(CALCULATIONS!$C$127*10^3)/((CALCULATIONS!$C$123*10^6)+(CALCULATIONS!$C$127*10^3))</f>
        <v>1.2782694198623401E-2</v>
      </c>
      <c r="K258" s="112" t="str">
        <f t="shared" si="36"/>
        <v>0.000393785995784295-0.586524495473962i</v>
      </c>
      <c r="L258" s="108">
        <f t="shared" si="37"/>
        <v>-4.6342749502609468</v>
      </c>
      <c r="M258" s="108" t="str">
        <f t="shared" si="43"/>
        <v>5.03364596381105E-06-0.00749736326564553i</v>
      </c>
      <c r="N258" s="108">
        <f t="shared" si="38"/>
        <v>-42.501826962579102</v>
      </c>
      <c r="O258" s="108">
        <f t="shared" si="39"/>
        <v>-89.961532259310871</v>
      </c>
      <c r="P258" s="108" t="str">
        <f>IMPRODUCT(42*10^-6,IMDIV((COMPLEX(1,I258*(CALCULATIONS!C267*10^3)*(CALCULATIONS!C265*10^-6))),IMPRODUCT((COMPLEX(0,data!I258*((CALCULATIONS!C265*10^-6)+(CALCULATIONS!C271*10^-6)))),(COMPLEX(1,I258*((CALCULATIONS!C267*10^3)*(CALCULATIONS!C265*10^-6)*(CALCULATIONS!C271*10^-6))/((CALCULATIONS!C265*10^-6)+(CALCULATIONS!C271*10^-6)))))))</f>
        <v>0.0000981464144285432-0.0101510670328329i</v>
      </c>
      <c r="Q258" s="108">
        <f t="shared" si="40"/>
        <v>-39.869360120962526</v>
      </c>
      <c r="R258" s="108" t="str">
        <f t="shared" si="26"/>
        <v>-0.0000761057430447639-7.86936199789577E-07i</v>
      </c>
      <c r="S258" s="108">
        <f t="shared" si="41"/>
        <v>-82.371187083541628</v>
      </c>
      <c r="T258" s="108">
        <f t="shared" si="42"/>
        <v>0.59241936820041019</v>
      </c>
    </row>
    <row r="259" spans="1:20" x14ac:dyDescent="0.2">
      <c r="A259" s="108">
        <v>6.4000000000000101</v>
      </c>
      <c r="B259" s="108">
        <f t="shared" si="29"/>
        <v>2511886.4315096405</v>
      </c>
      <c r="C259" s="108">
        <f t="shared" si="32"/>
        <v>15782647.919765135</v>
      </c>
      <c r="D259" s="108" t="str">
        <f t="shared" si="33"/>
        <v>-8.98559898278876E-06-2.04745159361153E-08i</v>
      </c>
      <c r="E259" s="108">
        <f t="shared" si="34"/>
        <v>-100.92903679929424</v>
      </c>
      <c r="F259" s="108">
        <f t="shared" si="35"/>
        <v>-179.86944650849409</v>
      </c>
      <c r="G259" s="108">
        <v>3.4</v>
      </c>
      <c r="H259" s="112">
        <f t="shared" si="30"/>
        <v>2511.8864315095811</v>
      </c>
      <c r="I259" s="112">
        <f t="shared" si="31"/>
        <v>15782.647919764762</v>
      </c>
      <c r="J259" s="112">
        <f>(CALCULATIONS!$C$127*10^3)/((CALCULATIONS!$C$123*10^6)+(CALCULATIONS!$C$127*10^3))</f>
        <v>1.2782694198623401E-2</v>
      </c>
      <c r="K259" s="112" t="str">
        <f t="shared" si="36"/>
        <v>0.000248462207525406-0.465893044614009i</v>
      </c>
      <c r="L259" s="108">
        <f t="shared" si="37"/>
        <v>-6.6342742278090512</v>
      </c>
      <c r="M259" s="108" t="str">
        <f t="shared" si="43"/>
        <v>3.17601641871217E-06-0.00595536831856649i</v>
      </c>
      <c r="N259" s="108">
        <f t="shared" si="38"/>
        <v>-44.501826240127201</v>
      </c>
      <c r="O259" s="108">
        <f t="shared" si="39"/>
        <v>-89.969443985750232</v>
      </c>
      <c r="P259" s="108" t="str">
        <f>IMPRODUCT(42*10^-6,IMDIV((COMPLEX(1,I259*(CALCULATIONS!C267*10^3)*(CALCULATIONS!C265*10^-6))),IMPRODUCT((COMPLEX(0,data!I259*((CALCULATIONS!C265*10^-6)+(CALCULATIONS!C271*10^-6)))),(COMPLEX(1,I259*((CALCULATIONS!C267*10^3)*(CALCULATIONS!C265*10^-6)*(CALCULATIONS!C271*10^-6))/((CALCULATIONS!C265*10^-6)+(CALCULATIONS!C271*10^-6)))))))</f>
        <v>0.0000619286861611513-0.00806357916715151i</v>
      </c>
      <c r="Q259" s="108">
        <f t="shared" si="40"/>
        <v>-41.869186763913568</v>
      </c>
      <c r="R259" s="108" t="str">
        <f t="shared" si="26"/>
        <v>-0.0000480213872197828-3.94418195403026E-07i</v>
      </c>
      <c r="S259" s="108">
        <f t="shared" si="41"/>
        <v>-86.371013004040776</v>
      </c>
      <c r="T259" s="108">
        <f t="shared" si="42"/>
        <v>0.47058177878500373</v>
      </c>
    </row>
    <row r="260" spans="1:20" x14ac:dyDescent="0.2">
      <c r="A260" s="108">
        <v>6.5000000000000098</v>
      </c>
      <c r="B260" s="108">
        <f t="shared" si="29"/>
        <v>3162277.6601684527</v>
      </c>
      <c r="C260" s="108">
        <f t="shared" si="32"/>
        <v>19869176.531592663</v>
      </c>
      <c r="D260" s="108" t="str">
        <f t="shared" si="33"/>
        <v>-5.66954053588482E-06-1.02615856636217E-08i</v>
      </c>
      <c r="E260" s="108">
        <f t="shared" si="34"/>
        <v>-104.92902847797356</v>
      </c>
      <c r="F260" s="108">
        <f t="shared" si="35"/>
        <v>-179.89629760932183</v>
      </c>
      <c r="G260" s="108">
        <v>3.5</v>
      </c>
      <c r="H260" s="112">
        <f t="shared" si="30"/>
        <v>3162.2776601683804</v>
      </c>
      <c r="I260" s="112">
        <f t="shared" si="31"/>
        <v>19869.176531592209</v>
      </c>
      <c r="J260" s="112">
        <f>(CALCULATIONS!$C$127*10^3)/((CALCULATIONS!$C$123*10^6)+(CALCULATIONS!$C$127*10^3))</f>
        <v>1.2782694198623401E-2</v>
      </c>
      <c r="K260" s="112" t="str">
        <f t="shared" si="36"/>
        <v>0.000156769071118431-0.370072038541405i</v>
      </c>
      <c r="L260" s="108">
        <f t="shared" si="37"/>
        <v>-8.6342737719726159</v>
      </c>
      <c r="M260" s="108" t="str">
        <f t="shared" si="43"/>
        <v>2.00393109590915E-06-0.00473051770013595i</v>
      </c>
      <c r="N260" s="108">
        <f t="shared" si="38"/>
        <v>-46.50182578429078</v>
      </c>
      <c r="O260" s="108">
        <f t="shared" si="39"/>
        <v>-89.975728494291602</v>
      </c>
      <c r="P260" s="108" t="str">
        <f>IMPRODUCT(42*10^-6,IMDIV((COMPLEX(1,I260*(CALCULATIONS!C267*10^3)*(CALCULATIONS!C265*10^-6))),IMPRODUCT((COMPLEX(0,data!I260*((CALCULATIONS!C265*10^-6)+(CALCULATIONS!C271*10^-6)))),(COMPLEX(1,I260*((CALCULATIONS!C267*10^3)*(CALCULATIONS!C265*10^-6)*(CALCULATIONS!C271*10^-6))/((CALCULATIONS!C265*10^-6)+(CALCULATIONS!C271*10^-6)))))))</f>
        <v>0.0000390753487854184-0.00640527897662386i</v>
      </c>
      <c r="Q260" s="108">
        <f t="shared" si="40"/>
        <v>-43.869077379411564</v>
      </c>
      <c r="R260" s="108" t="str">
        <f t="shared" si="26"/>
        <v>-0.0000303002072689213-1.97682366787637E-07i</v>
      </c>
      <c r="S260" s="108">
        <f t="shared" si="41"/>
        <v>-90.370903163702366</v>
      </c>
      <c r="T260" s="108">
        <f t="shared" si="42"/>
        <v>0.37379957520994367</v>
      </c>
    </row>
    <row r="261" spans="1:20" x14ac:dyDescent="0.2">
      <c r="A261" s="108">
        <v>6.6000000000000103</v>
      </c>
      <c r="B261" s="108">
        <f t="shared" si="29"/>
        <v>3981071.7055350752</v>
      </c>
      <c r="C261" s="108">
        <f t="shared" si="32"/>
        <v>25013811.247046359</v>
      </c>
      <c r="D261" s="108" t="str">
        <f t="shared" si="33"/>
        <v>-3.57724256565232E-06-5.14298194898819E-09i</v>
      </c>
      <c r="E261" s="108">
        <f t="shared" si="34"/>
        <v>-108.929023227567</v>
      </c>
      <c r="F261" s="108">
        <f t="shared" si="35"/>
        <v>-179.91762622988065</v>
      </c>
      <c r="G261" s="108">
        <v>3.6</v>
      </c>
      <c r="H261" s="112">
        <f t="shared" si="30"/>
        <v>3981.0717055349769</v>
      </c>
      <c r="I261" s="112">
        <f t="shared" si="31"/>
        <v>25013.811247045742</v>
      </c>
      <c r="J261" s="112">
        <f>(CALCULATIONS!$C$127*10^3)/((CALCULATIONS!$C$123*10^6)+(CALCULATIONS!$C$127*10^3))</f>
        <v>1.2782694198623401E-2</v>
      </c>
      <c r="K261" s="112" t="str">
        <f t="shared" si="36"/>
        <v>0.0000989146033601728-0.293958688562947i</v>
      </c>
      <c r="L261" s="108">
        <f t="shared" si="37"/>
        <v>-10.634273484359291</v>
      </c>
      <c r="M261" s="108" t="str">
        <f t="shared" si="43"/>
        <v>1.26439512653122E-06-0.00375758402292853i</v>
      </c>
      <c r="N261" s="108">
        <f t="shared" si="38"/>
        <v>-48.501825496677434</v>
      </c>
      <c r="O261" s="108">
        <f t="shared" si="39"/>
        <v>-89.980720457290943</v>
      </c>
      <c r="P261" s="108" t="str">
        <f>IMPRODUCT(42*10^-6,IMDIV((COMPLEX(1,I261*(CALCULATIONS!C267*10^3)*(CALCULATIONS!C265*10^-6))),IMPRODUCT((COMPLEX(0,data!I261*((CALCULATIONS!C265*10^-6)+(CALCULATIONS!C271*10^-6)))),(COMPLEX(1,I261*((CALCULATIONS!C267*10^3)*(CALCULATIONS!C265*10^-6)*(CALCULATIONS!C271*10^-6))/((CALCULATIONS!C265*10^-6)+(CALCULATIONS!C271*10^-6)))))))</f>
        <v>0.0000246552722149647-0.0050879693096668i</v>
      </c>
      <c r="Q261" s="108">
        <f t="shared" si="40"/>
        <v>-45.869008361024029</v>
      </c>
      <c r="R261" s="108" t="str">
        <f t="shared" si="26"/>
        <v>-0.0000191184410131486-9.90774605549882E-08i</v>
      </c>
      <c r="S261" s="108">
        <f t="shared" si="41"/>
        <v>-94.370833857701498</v>
      </c>
      <c r="T261" s="108">
        <f t="shared" si="42"/>
        <v>0.29692115132112917</v>
      </c>
    </row>
    <row r="262" spans="1:20" x14ac:dyDescent="0.2">
      <c r="A262" s="108">
        <v>6.7000000000000099</v>
      </c>
      <c r="B262" s="108">
        <f t="shared" si="29"/>
        <v>5011872.3362728469</v>
      </c>
      <c r="C262" s="108">
        <f t="shared" si="32"/>
        <v>31490522.624729376</v>
      </c>
      <c r="D262" s="108" t="str">
        <f t="shared" si="33"/>
        <v>-2.25708919148603E-06-2.57759886179269E-09i</v>
      </c>
      <c r="E262" s="108">
        <f t="shared" si="34"/>
        <v>-112.92901991478109</v>
      </c>
      <c r="F262" s="108">
        <f t="shared" si="35"/>
        <v>-179.93456817195644</v>
      </c>
      <c r="G262" s="108">
        <v>3.7</v>
      </c>
      <c r="H262" s="112">
        <f t="shared" si="30"/>
        <v>5011.8723362727324</v>
      </c>
      <c r="I262" s="112">
        <f t="shared" si="31"/>
        <v>31490.522624728659</v>
      </c>
      <c r="J262" s="112">
        <f>(CALCULATIONS!$C$127*10^3)/((CALCULATIONS!$C$123*10^6)+(CALCULATIONS!$C$127*10^3))</f>
        <v>1.2782694198623401E-2</v>
      </c>
      <c r="K262" s="112" t="str">
        <f t="shared" si="36"/>
        <v>0.0000624108980743114-0.233499695924952i</v>
      </c>
      <c r="L262" s="108">
        <f t="shared" si="37"/>
        <v>-12.634273302887554</v>
      </c>
      <c r="M262" s="108" t="str">
        <f t="shared" si="43"/>
        <v>7.97779424745377E-07-0.00298475520848021i</v>
      </c>
      <c r="N262" s="108">
        <f t="shared" si="38"/>
        <v>-50.501825315205721</v>
      </c>
      <c r="O262" s="108">
        <f t="shared" si="39"/>
        <v>-89.984685714660316</v>
      </c>
      <c r="P262" s="108" t="str">
        <f>IMPRODUCT(42*10^-6,IMDIV((COMPLEX(1,I262*(CALCULATIONS!C267*10^3)*(CALCULATIONS!C265*10^-6))),IMPRODUCT((COMPLEX(0,data!I262*((CALCULATIONS!C265*10^-6)+(CALCULATIONS!C271*10^-6)))),(COMPLEX(1,I262*((CALCULATIONS!C267*10^3)*(CALCULATIONS!C265*10^-6)*(CALCULATIONS!C271*10^-6))/((CALCULATIONS!C265*10^-6)+(CALCULATIONS!C271*10^-6)))))))</f>
        <v>0.0000155565819069431-0.00404155545416608i</v>
      </c>
      <c r="Q262" s="108">
        <f t="shared" si="40"/>
        <v>-47.868964812795134</v>
      </c>
      <c r="R262" s="108" t="str">
        <f t="shared" si="26"/>
        <v>-0.0000120630412814628-4.96568586581986E-08i</v>
      </c>
      <c r="S262" s="108">
        <f t="shared" si="41"/>
        <v>-98.370790128000891</v>
      </c>
      <c r="T262" s="108">
        <f t="shared" si="42"/>
        <v>0.23585365318882623</v>
      </c>
    </row>
    <row r="263" spans="1:20" x14ac:dyDescent="0.2">
      <c r="A263" s="108">
        <v>6.8000000000000096</v>
      </c>
      <c r="B263" s="108">
        <f t="shared" si="29"/>
        <v>6309573.4448020831</v>
      </c>
      <c r="C263" s="108">
        <f t="shared" si="32"/>
        <v>39644219.162950933</v>
      </c>
      <c r="D263" s="108" t="str">
        <f t="shared" si="33"/>
        <v>-1.42412768793716E-06-1.29186026470553E-09i</v>
      </c>
      <c r="E263" s="108">
        <f t="shared" si="34"/>
        <v>-116.92901782455314</v>
      </c>
      <c r="F263" s="108">
        <f t="shared" si="35"/>
        <v>-179.9480256431971</v>
      </c>
      <c r="G263" s="108">
        <v>3.8</v>
      </c>
      <c r="H263" s="112">
        <f t="shared" si="30"/>
        <v>6309.5734448019384</v>
      </c>
      <c r="I263" s="112">
        <f t="shared" si="31"/>
        <v>39644.21916295003</v>
      </c>
      <c r="J263" s="112">
        <f>(CALCULATIONS!$C$127*10^3)/((CALCULATIONS!$C$123*10^6)+(CALCULATIONS!$C$127*10^3))</f>
        <v>1.2782694198623401E-2</v>
      </c>
      <c r="K263" s="112" t="str">
        <f t="shared" si="36"/>
        <v>0.0000393786155538016-0.185475406162749i</v>
      </c>
      <c r="L263" s="108">
        <f t="shared" si="37"/>
        <v>-14.634273188386596</v>
      </c>
      <c r="M263" s="108" t="str">
        <f t="shared" si="43"/>
        <v>5.03364800589401E-07-0.00237087539834389i</v>
      </c>
      <c r="N263" s="108">
        <f t="shared" si="38"/>
        <v>-52.501825200704751</v>
      </c>
      <c r="O263" s="108">
        <f t="shared" si="39"/>
        <v>-89.987835430653163</v>
      </c>
      <c r="P263" s="108" t="str">
        <f>IMPRODUCT(42*10^-6,IMDIV((COMPLEX(1,I263*(CALCULATIONS!C267*10^3)*(CALCULATIONS!C265*10^-6))),IMPRODUCT((COMPLEX(0,data!I263*((CALCULATIONS!C265*10^-6)+(CALCULATIONS!C271*10^-6)))),(COMPLEX(1,I263*((CALCULATIONS!C267*10^3)*(CALCULATIONS!C265*10^-6)*(CALCULATIONS!C271*10^-6))/((CALCULATIONS!C265*10^-6)+(CALCULATIONS!C271*10^-6)))))))</f>
        <v>9.81560204248218E-06-0.00321034054164954i</v>
      </c>
      <c r="Q263" s="108">
        <f t="shared" si="40"/>
        <v>-49.868937335493193</v>
      </c>
      <c r="R263" s="108" t="str">
        <f t="shared" si="26"/>
        <v>-7.61131246967433E-06-2.48875418290265E-08i</v>
      </c>
      <c r="S263" s="108">
        <f t="shared" si="41"/>
        <v>-102.37076253619793</v>
      </c>
      <c r="T263" s="108">
        <f t="shared" si="42"/>
        <v>0.18734561654736126</v>
      </c>
    </row>
    <row r="264" spans="1:20" x14ac:dyDescent="0.2">
      <c r="A264" s="108">
        <v>6.9000000000000101</v>
      </c>
      <c r="B264" s="108">
        <f t="shared" si="29"/>
        <v>7943282.347243011</v>
      </c>
      <c r="C264" s="108">
        <f t="shared" si="32"/>
        <v>49909114.934976265</v>
      </c>
      <c r="D264" s="108" t="str">
        <f t="shared" si="33"/>
        <v>-8.98564097053233E-07-6.47464068919578E-10i</v>
      </c>
      <c r="E264" s="108">
        <f t="shared" si="34"/>
        <v>-120.92901650570809</v>
      </c>
      <c r="F264" s="108">
        <f t="shared" si="35"/>
        <v>-179.95871529673076</v>
      </c>
      <c r="G264" s="108">
        <v>3.9</v>
      </c>
      <c r="H264" s="112">
        <f t="shared" si="30"/>
        <v>7943.2823472428154</v>
      </c>
      <c r="I264" s="112">
        <f t="shared" si="31"/>
        <v>49909.114934975034</v>
      </c>
      <c r="J264" s="112">
        <f>(CALCULATIONS!$C$127*10^3)/((CALCULATIONS!$C$123*10^6)+(CALCULATIONS!$C$127*10^3))</f>
        <v>1.2782694198623401E-2</v>
      </c>
      <c r="K264" s="112" t="str">
        <f t="shared" si="36"/>
        <v>0.0000248462271124521-0.147328354412844i</v>
      </c>
      <c r="L264" s="108">
        <f t="shared" si="37"/>
        <v>-16.634273116141369</v>
      </c>
      <c r="M264" s="108" t="str">
        <f t="shared" si="43"/>
        <v>3.17601723168021E-07-0.00188325330124579i</v>
      </c>
      <c r="N264" s="108">
        <f t="shared" si="38"/>
        <v>-54.501825128459544</v>
      </c>
      <c r="O264" s="108">
        <f t="shared" si="39"/>
        <v>-89.990337339050967</v>
      </c>
      <c r="P264" s="108" t="str">
        <f>IMPRODUCT(42*10^-6,IMDIV((COMPLEX(1,I264*(CALCULATIONS!C267*10^3)*(CALCULATIONS!C265*10^-6))),IMPRODUCT((COMPLEX(0,data!I264*((CALCULATIONS!C265*10^-6)+(CALCULATIONS!C271*10^-6)))),(COMPLEX(1,I264*((CALCULATIONS!C267*10^3)*(CALCULATIONS!C265*10^-6)*(CALCULATIONS!C271*10^-6))/((CALCULATIONS!C265*10^-6)+(CALCULATIONS!C271*10^-6)))))))</f>
        <v>0.0000061932510545968-0.00255007362398842i</v>
      </c>
      <c r="Q264" s="108">
        <f t="shared" si="40"/>
        <v>-51.868919998397267</v>
      </c>
      <c r="R264" s="108" t="str">
        <f t="shared" si="26"/>
        <v>-0.0000048024326038088-1.24733682711974E-08i</v>
      </c>
      <c r="S264" s="108">
        <f t="shared" si="41"/>
        <v>-106.3707451268568</v>
      </c>
      <c r="T264" s="108">
        <f t="shared" si="42"/>
        <v>0.14881411363052166</v>
      </c>
    </row>
    <row r="265" spans="1:20" x14ac:dyDescent="0.2">
      <c r="A265" s="108">
        <v>7.0000000000000098</v>
      </c>
      <c r="B265" s="108">
        <f t="shared" si="29"/>
        <v>10000000.000000255</v>
      </c>
      <c r="C265" s="108">
        <f t="shared" si="32"/>
        <v>62831853.071797468</v>
      </c>
      <c r="D265" s="108" t="str">
        <f t="shared" si="33"/>
        <v>-5.66955725154187E-07-3.24500787751229E-10i</v>
      </c>
      <c r="E265" s="108">
        <f t="shared" si="34"/>
        <v>-124.92901567357281</v>
      </c>
      <c r="F265" s="108">
        <f t="shared" si="35"/>
        <v>-179.96720639243657</v>
      </c>
      <c r="G265" s="108">
        <v>4</v>
      </c>
      <c r="H265" s="112">
        <f t="shared" si="30"/>
        <v>10000</v>
      </c>
      <c r="I265" s="112">
        <f t="shared" si="31"/>
        <v>62831.853071795864</v>
      </c>
      <c r="J265" s="112">
        <f>(CALCULATIONS!$C$127*10^3)/((CALCULATIONS!$C$123*10^6)+(CALCULATIONS!$C$127*10^3))</f>
        <v>1.2782694198623401E-2</v>
      </c>
      <c r="K265" s="112" t="str">
        <f t="shared" si="36"/>
        <v>0.0000156769096437697-0.117027072913907i</v>
      </c>
      <c r="L265" s="108">
        <f t="shared" si="37"/>
        <v>-18.634273070557686</v>
      </c>
      <c r="M265" s="108" t="str">
        <f t="shared" si="43"/>
        <v>2.00393141955758E-07-0.00149592128601848i</v>
      </c>
      <c r="N265" s="108">
        <f t="shared" si="38"/>
        <v>-56.501825082875826</v>
      </c>
      <c r="O265" s="108">
        <f t="shared" si="39"/>
        <v>-89.992324675558763</v>
      </c>
      <c r="P265" s="108" t="str">
        <f>IMPRODUCT(42*10^-6,IMDIV((COMPLEX(1,I265*(CALCULATIONS!C267*10^3)*(CALCULATIONS!C265*10^-6))),IMPRODUCT((COMPLEX(0,data!I265*((CALCULATIONS!C265*10^-6)+(CALCULATIONS!C271*10^-6)))),(COMPLEX(1,I265*((CALCULATIONS!C267*10^3)*(CALCULATIONS!C265*10^-6)*(CALCULATIONS!C271*10^-6))/((CALCULATIONS!C265*10^-6)+(CALCULATIONS!C271*10^-6)))))))</f>
        <v>3.90768713428444E-06-0.00202560023579415i</v>
      </c>
      <c r="Q265" s="108">
        <f t="shared" si="40"/>
        <v>-53.868909059393275</v>
      </c>
      <c r="R265" s="108" t="str">
        <f t="shared" si="26"/>
        <v>-3.03013772661482E-06-6.25150875887376E-09i</v>
      </c>
      <c r="S265" s="108">
        <f t="shared" si="41"/>
        <v>-110.3707341422691</v>
      </c>
      <c r="T265" s="108">
        <f t="shared" si="42"/>
        <v>0.11820735279846417</v>
      </c>
    </row>
    <row r="271" spans="1:20" x14ac:dyDescent="0.2">
      <c r="A271" s="208" t="s">
        <v>188</v>
      </c>
      <c r="B271" s="208"/>
      <c r="C271" s="208"/>
      <c r="D271" s="208"/>
    </row>
    <row r="272" spans="1:20" x14ac:dyDescent="0.2">
      <c r="A272" s="125" t="s">
        <v>189</v>
      </c>
      <c r="B272" s="125" t="s">
        <v>190</v>
      </c>
      <c r="C272" s="125" t="s">
        <v>370</v>
      </c>
      <c r="D272" s="125" t="s">
        <v>371</v>
      </c>
    </row>
    <row r="273" spans="1:4" x14ac:dyDescent="0.2">
      <c r="A273" s="125">
        <v>0</v>
      </c>
      <c r="B273" s="125">
        <f t="shared" ref="B273:B282" si="44">SIN(4*PI()*A273/100)</f>
        <v>0</v>
      </c>
      <c r="C273" s="125">
        <f>ABS(CALCULATIONS!C24*B273)</f>
        <v>0</v>
      </c>
      <c r="D273" s="125">
        <f>((1/(fsw/kHz)*kHz)*M1M2_calc*data!C273)/(7*Rsense*Vout_nom)</f>
        <v>0</v>
      </c>
    </row>
    <row r="274" spans="1:4" x14ac:dyDescent="0.2">
      <c r="A274" s="125">
        <v>0.1</v>
      </c>
      <c r="B274" s="125">
        <f t="shared" si="44"/>
        <v>1.2566039883352607E-2</v>
      </c>
      <c r="C274" s="125">
        <f>ABS(CALCULATIONS!C24*B274)</f>
        <v>2.8901891731710996</v>
      </c>
      <c r="D274" s="125">
        <f>((1/(fsw/kHz)*kHz)*M1M2_calc*data!C274)/(7*Rsense*Vout_nom)</f>
        <v>7.7394923239648097E-2</v>
      </c>
    </row>
    <row r="275" spans="1:4" x14ac:dyDescent="0.2">
      <c r="A275" s="125">
        <v>0.2</v>
      </c>
      <c r="B275" s="125">
        <f t="shared" si="44"/>
        <v>2.5130095443337479E-2</v>
      </c>
      <c r="C275" s="125">
        <f>ABS(CALCULATIONS!C24*B275)</f>
        <v>5.7799219519676202</v>
      </c>
      <c r="D275" s="125">
        <f>((1/(fsw/kHz)*kHz)*M1M2_calc*data!C275)/(7*Rsense*Vout_nom)</f>
        <v>0.15477762492372629</v>
      </c>
    </row>
    <row r="276" spans="1:4" x14ac:dyDescent="0.2">
      <c r="A276" s="125">
        <v>0.3</v>
      </c>
      <c r="B276" s="125">
        <f t="shared" si="44"/>
        <v>3.7690182669934541E-2</v>
      </c>
      <c r="C276" s="125">
        <f>ABS(CALCULATIONS!C24*B276)</f>
        <v>8.6687420140849447</v>
      </c>
      <c r="D276" s="125">
        <f>((1/(fsw/kHz)*kHz)*M1M2_calc*data!C276)/(7*Rsense*Vout_nom)</f>
        <v>0.23213588542658986</v>
      </c>
    </row>
    <row r="277" spans="1:4" x14ac:dyDescent="0.2">
      <c r="A277" s="125">
        <v>0.4</v>
      </c>
      <c r="B277" s="125">
        <f t="shared" si="44"/>
        <v>5.0244318179769556E-2</v>
      </c>
      <c r="C277" s="125">
        <f>ABS(CALCULATIONS!C24*B277)</f>
        <v>11.556193181346998</v>
      </c>
      <c r="D277" s="125">
        <f>((1/(fsw/kHz)*kHz)*M1M2_calc*data!C277)/(7*Rsense*Vout_nom)</f>
        <v>0.30945748898213993</v>
      </c>
    </row>
    <row r="278" spans="1:4" x14ac:dyDescent="0.2">
      <c r="A278" s="125">
        <v>0.5</v>
      </c>
      <c r="B278" s="125">
        <f t="shared" si="44"/>
        <v>6.2790519529313374E-2</v>
      </c>
      <c r="C278" s="125">
        <f>ABS(CALCULATIONS!C24*B278)</f>
        <v>14.441819491742075</v>
      </c>
      <c r="D278" s="125">
        <f>((1/(fsw/kHz)*kHz)*M1M2_calc*data!C278)/(7*Rsense*Vout_nom)</f>
        <v>0.38673022561283477</v>
      </c>
    </row>
    <row r="279" spans="1:4" x14ac:dyDescent="0.2">
      <c r="A279" s="125">
        <v>0.6</v>
      </c>
      <c r="B279" s="125">
        <f t="shared" si="44"/>
        <v>7.5326805527932722E-2</v>
      </c>
      <c r="C279" s="125">
        <f>ABS(CALCULATIONS!C24*B279)</f>
        <v>17.325165271424527</v>
      </c>
      <c r="D279" s="125">
        <f>((1/(fsw/kHz)*kHz)*M1M2_calc*data!C279)/(7*Rsense*Vout_nom)</f>
        <v>0.46394189305778644</v>
      </c>
    </row>
    <row r="280" spans="1:4" x14ac:dyDescent="0.2">
      <c r="A280" s="125">
        <v>0.7</v>
      </c>
      <c r="B280" s="125">
        <f t="shared" si="44"/>
        <v>8.7851196550743166E-2</v>
      </c>
      <c r="C280" s="125">
        <f>ABS(CALCULATIONS!C24*B280)</f>
        <v>20.205775206670928</v>
      </c>
      <c r="D280" s="125">
        <f>((1/(fsw/kHz)*kHz)*M1M2_calc*data!C280)/(7*Rsense*Vout_nom)</f>
        <v>0.54108029869963903</v>
      </c>
    </row>
    <row r="281" spans="1:4" x14ac:dyDescent="0.2">
      <c r="A281" s="125">
        <v>0.8</v>
      </c>
      <c r="B281" s="125">
        <f t="shared" si="44"/>
        <v>0.10036171485121489</v>
      </c>
      <c r="C281" s="125">
        <f>ABS(CALCULATIONS!C24*B281)</f>
        <v>23.083194415779428</v>
      </c>
      <c r="D281" s="125">
        <f>((1/(fsw/kHz)*kHz)*M1M2_calc*data!C281)/(7*Rsense*Vout_nom)</f>
        <v>0.61813326148992542</v>
      </c>
    </row>
    <row r="282" spans="1:4" x14ac:dyDescent="0.2">
      <c r="A282" s="125">
        <v>0.9</v>
      </c>
      <c r="B282" s="125">
        <f t="shared" si="44"/>
        <v>0.11285638487348168</v>
      </c>
      <c r="C282" s="125">
        <f>ABS(CALCULATIONS!C24*B282)</f>
        <v>25.956968520900787</v>
      </c>
      <c r="D282" s="125">
        <f>((1/(fsw/kHz)*kHz)*M1M2_calc*data!C282)/(7*Rsense*Vout_nom)</f>
        <v>0.69508861387259413</v>
      </c>
    </row>
    <row r="283" spans="1:4" x14ac:dyDescent="0.2">
      <c r="A283" s="125">
        <v>1</v>
      </c>
      <c r="B283" s="125">
        <f>SIN(4*PI()*A283/100)</f>
        <v>0.12533323356430426</v>
      </c>
      <c r="C283" s="125">
        <f>ABS(CALCULATIONS!C24*B283)</f>
        <v>28.826643719789978</v>
      </c>
      <c r="D283" s="125">
        <f>((1/(fsw/kHz)*kHz)*M1M2_calc*data!C283)/(7*Rsense*Vout_nom)</f>
        <v>0.77193420370540977</v>
      </c>
    </row>
    <row r="284" spans="1:4" x14ac:dyDescent="0.2">
      <c r="A284" s="125">
        <v>2</v>
      </c>
      <c r="B284" s="125">
        <f t="shared" ref="B284:B347" si="45">SIN(4*PI()*A284/100)</f>
        <v>0.24868988716485479</v>
      </c>
      <c r="C284" s="125">
        <f>ABS(CALCULATIONS!C24*B284)</f>
        <v>57.198674047916604</v>
      </c>
      <c r="D284" s="125">
        <f>((1/(fsw/kHz)*kHz)*M1M2_calc*data!C284)/(7*Rsense*Vout_nom)</f>
        <v>1.5316945438872438</v>
      </c>
    </row>
    <row r="285" spans="1:4" x14ac:dyDescent="0.2">
      <c r="A285" s="125">
        <v>3</v>
      </c>
      <c r="B285" s="125">
        <f t="shared" si="45"/>
        <v>0.36812455268467792</v>
      </c>
      <c r="C285" s="125">
        <f>ABS(CALCULATIONS!C24*B285)</f>
        <v>84.668647117475928</v>
      </c>
      <c r="D285" s="125">
        <f>((1/(fsw/kHz)*kHz)*M1M2_calc*data!C285)/(7*Rsense*Vout_nom)</f>
        <v>2.2672991461220064</v>
      </c>
    </row>
    <row r="286" spans="1:4" x14ac:dyDescent="0.2">
      <c r="A286" s="125">
        <v>4</v>
      </c>
      <c r="B286" s="125">
        <f t="shared" si="45"/>
        <v>0.48175367410171532</v>
      </c>
      <c r="C286" s="125">
        <f>ABS(CALCULATIONS!C24*B286)</f>
        <v>110.80334504339453</v>
      </c>
      <c r="D286" s="125">
        <f>((1/(fsw/kHz)*kHz)*M1M2_calc*data!C286)/(7*Rsense*Vout_nom)</f>
        <v>2.9671470864035672</v>
      </c>
    </row>
    <row r="287" spans="1:4" x14ac:dyDescent="0.2">
      <c r="A287" s="125">
        <v>5</v>
      </c>
      <c r="B287" s="125">
        <f t="shared" si="45"/>
        <v>0.58778525229247314</v>
      </c>
      <c r="C287" s="125">
        <f>ABS(CALCULATIONS!C24*B287)</f>
        <v>135.19060802726881</v>
      </c>
      <c r="D287" s="125">
        <f>((1/(fsw/kHz)*kHz)*M1M2_calc*data!C287)/(7*Rsense*Vout_nom)</f>
        <v>3.6202013446447885</v>
      </c>
    </row>
    <row r="288" spans="1:4" x14ac:dyDescent="0.2">
      <c r="A288" s="125">
        <v>6</v>
      </c>
      <c r="B288" s="125">
        <f t="shared" si="45"/>
        <v>0.68454710592868862</v>
      </c>
      <c r="C288" s="125">
        <f>ABS(CALCULATIONS!C24*B288)</f>
        <v>157.44583436359838</v>
      </c>
      <c r="D288" s="125">
        <f>((1/(fsw/kHz)*kHz)*M1M2_calc*data!C288)/(7*Rsense*Vout_nom)</f>
        <v>4.2161628650775045</v>
      </c>
    </row>
    <row r="289" spans="1:4" x14ac:dyDescent="0.2">
      <c r="A289" s="125">
        <v>7</v>
      </c>
      <c r="B289" s="125">
        <f t="shared" si="45"/>
        <v>0.77051324277578925</v>
      </c>
      <c r="C289" s="125">
        <f>ABS(CALCULATIONS!C24*B289)</f>
        <v>177.21804583843152</v>
      </c>
      <c r="D289" s="125">
        <f>((1/(fsw/kHz)*kHz)*M1M2_calc*data!C289)/(7*Rsense*Vout_nom)</f>
        <v>4.7456329785143341</v>
      </c>
    </row>
    <row r="290" spans="1:4" x14ac:dyDescent="0.2">
      <c r="A290" s="125">
        <v>8</v>
      </c>
      <c r="B290" s="125">
        <f t="shared" si="45"/>
        <v>0.84432792550201508</v>
      </c>
      <c r="C290" s="125">
        <f>ABS(CALCULATIONS!C24*B290)</f>
        <v>194.19542286546346</v>
      </c>
      <c r="D290" s="125">
        <f>((1/(fsw/kHz)*kHz)*M1M2_calc*data!C290)/(7*Rsense*Vout_nom)</f>
        <v>5.2002616249762639</v>
      </c>
    </row>
    <row r="291" spans="1:4" x14ac:dyDescent="0.2">
      <c r="A291" s="125">
        <v>9</v>
      </c>
      <c r="B291" s="125">
        <f t="shared" si="45"/>
        <v>0.90482705246601958</v>
      </c>
      <c r="C291" s="125">
        <f>ABS(CALCULATIONS!C24*B291)</f>
        <v>208.11022206718451</v>
      </c>
      <c r="D291" s="125">
        <f>((1/(fsw/kHz)*kHz)*M1M2_calc*data!C291)/(7*Rsense*Vout_nom)</f>
        <v>5.5728790391266019</v>
      </c>
    </row>
    <row r="292" spans="1:4" x14ac:dyDescent="0.2">
      <c r="A292" s="125">
        <v>10</v>
      </c>
      <c r="B292" s="125">
        <f t="shared" si="45"/>
        <v>0.95105651629515353</v>
      </c>
      <c r="C292" s="125">
        <f>ABS(CALCULATIONS!C24*B292)</f>
        <v>218.74299874788531</v>
      </c>
      <c r="D292" s="125">
        <f>((1/(fsw/kHz)*kHz)*M1M2_calc*data!C292)/(7*Rsense*Vout_nom)</f>
        <v>5.85760882175334</v>
      </c>
    </row>
    <row r="293" spans="1:4" x14ac:dyDescent="0.2">
      <c r="A293" s="125">
        <v>11</v>
      </c>
      <c r="B293" s="125">
        <f t="shared" si="45"/>
        <v>0.98228725072868861</v>
      </c>
      <c r="C293" s="125">
        <f>ABS(CALCULATIONS!C24*B293)</f>
        <v>225.92606766759837</v>
      </c>
      <c r="D293" s="125">
        <f>((1/(fsw/kHz)*kHz)*M1M2_calc*data!C293)/(7*Rsense*Vout_nom)</f>
        <v>6.0499606140951299</v>
      </c>
    </row>
    <row r="294" spans="1:4" x14ac:dyDescent="0.2">
      <c r="A294" s="125">
        <v>12</v>
      </c>
      <c r="B294" s="125">
        <f t="shared" si="45"/>
        <v>0.99802672842827156</v>
      </c>
      <c r="C294" s="125">
        <f>ABS(CALCULATIONS!C24*B294)</f>
        <v>229.54614753850245</v>
      </c>
      <c r="D294" s="125">
        <f>((1/(fsw/kHz)*kHz)*M1M2_calc*data!C294)/(7*Rsense*Vout_nom)</f>
        <v>6.1469009134813488</v>
      </c>
    </row>
    <row r="295" spans="1:4" x14ac:dyDescent="0.2">
      <c r="A295" s="125">
        <v>13</v>
      </c>
      <c r="B295" s="125">
        <f>SIN(4*PI()*A295/100)</f>
        <v>0.99802672842827156</v>
      </c>
      <c r="C295" s="125">
        <f>ABS(CALCULATIONS!C24*B295)</f>
        <v>229.54614753850245</v>
      </c>
      <c r="D295" s="125">
        <f>((1/(fsw/kHz)*kHz)*M1M2_calc*data!C295)/(7*Rsense*Vout_nom)</f>
        <v>6.1469009134813488</v>
      </c>
    </row>
    <row r="296" spans="1:4" x14ac:dyDescent="0.2">
      <c r="A296" s="125">
        <v>14</v>
      </c>
      <c r="B296" s="125">
        <f t="shared" si="45"/>
        <v>0.98228725072868872</v>
      </c>
      <c r="C296" s="125">
        <f>ABS(CALCULATIONS!C24*B296)</f>
        <v>225.9260676675984</v>
      </c>
      <c r="D296" s="125">
        <f>((1/(fsw/kHz)*kHz)*M1M2_calc*data!C296)/(7*Rsense*Vout_nom)</f>
        <v>6.0499606140951299</v>
      </c>
    </row>
    <row r="297" spans="1:4" x14ac:dyDescent="0.2">
      <c r="A297" s="125">
        <v>15</v>
      </c>
      <c r="B297" s="125">
        <f t="shared" si="45"/>
        <v>0.95105651629515364</v>
      </c>
      <c r="C297" s="125">
        <f>ABS(CALCULATIONS!C24*B297)</f>
        <v>218.74299874788534</v>
      </c>
      <c r="D297" s="125">
        <f>((1/(fsw/kHz)*kHz)*M1M2_calc*data!C297)/(7*Rsense*Vout_nom)</f>
        <v>5.8576088217533409</v>
      </c>
    </row>
    <row r="298" spans="1:4" x14ac:dyDescent="0.2">
      <c r="A298" s="125">
        <v>16</v>
      </c>
      <c r="B298" s="125">
        <f t="shared" si="45"/>
        <v>0.90482705246601947</v>
      </c>
      <c r="C298" s="125">
        <f>ABS(CALCULATIONS!C24*B298)</f>
        <v>208.11022206718448</v>
      </c>
      <c r="D298" s="125">
        <f>((1/(fsw/kHz)*kHz)*M1M2_calc*data!C298)/(7*Rsense*Vout_nom)</f>
        <v>5.572879039126601</v>
      </c>
    </row>
    <row r="299" spans="1:4" x14ac:dyDescent="0.2">
      <c r="A299" s="125">
        <v>17</v>
      </c>
      <c r="B299" s="125">
        <f t="shared" si="45"/>
        <v>0.84432792550201496</v>
      </c>
      <c r="C299" s="125">
        <f>ABS(CALCULATIONS!C24*B299)</f>
        <v>194.19542286546343</v>
      </c>
      <c r="D299" s="125">
        <f>((1/(fsw/kHz)*kHz)*M1M2_calc*data!C299)/(7*Rsense*Vout_nom)</f>
        <v>5.200261624976263</v>
      </c>
    </row>
    <row r="300" spans="1:4" x14ac:dyDescent="0.2">
      <c r="A300" s="125">
        <v>18</v>
      </c>
      <c r="B300" s="125">
        <f t="shared" si="45"/>
        <v>0.77051324277578925</v>
      </c>
      <c r="C300" s="125">
        <f>ABS(CALCULATIONS!C24*B300)</f>
        <v>177.21804583843152</v>
      </c>
      <c r="D300" s="125">
        <f>((1/(fsw/kHz)*kHz)*M1M2_calc*data!C300)/(7*Rsense*Vout_nom)</f>
        <v>4.7456329785143341</v>
      </c>
    </row>
    <row r="301" spans="1:4" x14ac:dyDescent="0.2">
      <c r="A301" s="125">
        <v>19</v>
      </c>
      <c r="B301" s="125">
        <f t="shared" si="45"/>
        <v>0.68454710592868884</v>
      </c>
      <c r="C301" s="125">
        <f>ABS(CALCULATIONS!C24*B301)</f>
        <v>157.44583436359844</v>
      </c>
      <c r="D301" s="125">
        <f>((1/(fsw/kHz)*kHz)*M1M2_calc*data!C301)/(7*Rsense*Vout_nom)</f>
        <v>4.2161628650775054</v>
      </c>
    </row>
    <row r="302" spans="1:4" x14ac:dyDescent="0.2">
      <c r="A302" s="125">
        <v>20</v>
      </c>
      <c r="B302" s="125">
        <f t="shared" si="45"/>
        <v>0.58778525229247325</v>
      </c>
      <c r="C302" s="125">
        <f>ABS(CALCULATIONS!C24*B302)</f>
        <v>135.19060802726884</v>
      </c>
      <c r="D302" s="125">
        <f>((1/(fsw/kHz)*kHz)*M1M2_calc*data!C302)/(7*Rsense*Vout_nom)</f>
        <v>3.6202013446447894</v>
      </c>
    </row>
    <row r="303" spans="1:4" x14ac:dyDescent="0.2">
      <c r="A303" s="125">
        <v>21</v>
      </c>
      <c r="B303" s="125">
        <f t="shared" si="45"/>
        <v>0.48175367410171521</v>
      </c>
      <c r="C303" s="125">
        <f>ABS(CALCULATIONS!C24*B303)</f>
        <v>110.8033450433945</v>
      </c>
      <c r="D303" s="125">
        <f>((1/(fsw/kHz)*kHz)*M1M2_calc*data!C303)/(7*Rsense*Vout_nom)</f>
        <v>2.9671470864035663</v>
      </c>
    </row>
    <row r="304" spans="1:4" x14ac:dyDescent="0.2">
      <c r="A304" s="125">
        <v>22</v>
      </c>
      <c r="B304" s="125">
        <f t="shared" si="45"/>
        <v>0.36812455268467814</v>
      </c>
      <c r="C304" s="125">
        <f>ABS(CALCULATIONS!C24*B304)</f>
        <v>84.66864711747597</v>
      </c>
      <c r="D304" s="125">
        <f>((1/(fsw/kHz)*kHz)*M1M2_calc*data!C304)/(7*Rsense*Vout_nom)</f>
        <v>2.2672991461220073</v>
      </c>
    </row>
    <row r="305" spans="1:4" x14ac:dyDescent="0.2">
      <c r="A305" s="125">
        <v>23</v>
      </c>
      <c r="B305" s="125">
        <f t="shared" si="45"/>
        <v>0.24868988716485524</v>
      </c>
      <c r="C305" s="125">
        <f>ABS(CALCULATIONS!C24*B305)</f>
        <v>57.198674047916704</v>
      </c>
      <c r="D305" s="125">
        <f>((1/(fsw/kHz)*kHz)*M1M2_calc*data!C305)/(7*Rsense*Vout_nom)</f>
        <v>1.5316945438872467</v>
      </c>
    </row>
    <row r="306" spans="1:4" x14ac:dyDescent="0.2">
      <c r="A306" s="125">
        <v>24</v>
      </c>
      <c r="B306" s="125">
        <f t="shared" si="45"/>
        <v>0.12533323356430454</v>
      </c>
      <c r="C306" s="125">
        <f>ABS(CALCULATIONS!C24*B306)</f>
        <v>28.826643719790042</v>
      </c>
      <c r="D306" s="125">
        <f>((1/(fsw/kHz)*kHz)*M1M2_calc*data!C306)/(7*Rsense*Vout_nom)</f>
        <v>0.77193420370541144</v>
      </c>
    </row>
    <row r="307" spans="1:4" x14ac:dyDescent="0.2">
      <c r="A307" s="125">
        <v>25</v>
      </c>
      <c r="B307" s="125">
        <f t="shared" si="45"/>
        <v>1.22514845490862E-16</v>
      </c>
      <c r="C307" s="125">
        <f>ABS(CALCULATIONS!C24*B307)</f>
        <v>2.817841446289826E-14</v>
      </c>
      <c r="D307" s="125">
        <f>((1/(fsw/kHz)*kHz)*M1M2_calc*data!C307)/(7*Rsense*Vout_nom)</f>
        <v>7.5457559823953198E-16</v>
      </c>
    </row>
    <row r="308" spans="1:4" x14ac:dyDescent="0.2">
      <c r="A308" s="125">
        <v>26</v>
      </c>
      <c r="B308" s="125">
        <f t="shared" si="45"/>
        <v>-0.12533323356430429</v>
      </c>
      <c r="C308" s="125">
        <f>ABS(CALCULATIONS!C24*B308)</f>
        <v>28.826643719789985</v>
      </c>
      <c r="D308" s="125">
        <f>((1/(fsw/kHz)*kHz)*M1M2_calc*data!C308)/(7*Rsense*Vout_nom)</f>
        <v>0.77193420370540988</v>
      </c>
    </row>
    <row r="309" spans="1:4" x14ac:dyDescent="0.2">
      <c r="A309" s="125">
        <v>27</v>
      </c>
      <c r="B309" s="125">
        <f t="shared" si="45"/>
        <v>-0.24868988716485457</v>
      </c>
      <c r="C309" s="125">
        <f>ABS(CALCULATIONS!C24*B309)</f>
        <v>57.198674047916555</v>
      </c>
      <c r="D309" s="125">
        <f>((1/(fsw/kHz)*kHz)*M1M2_calc*data!C309)/(7*Rsense*Vout_nom)</f>
        <v>1.5316945438872425</v>
      </c>
    </row>
    <row r="310" spans="1:4" x14ac:dyDescent="0.2">
      <c r="A310" s="125">
        <v>28</v>
      </c>
      <c r="B310" s="125">
        <f t="shared" si="45"/>
        <v>-0.36812455268467792</v>
      </c>
      <c r="C310" s="125">
        <f>ABS(CALCULATIONS!C24*B310)</f>
        <v>84.668647117475928</v>
      </c>
      <c r="D310" s="125">
        <f>((1/(fsw/kHz)*kHz)*M1M2_calc*data!C310)/(7*Rsense*Vout_nom)</f>
        <v>2.2672991461220064</v>
      </c>
    </row>
    <row r="311" spans="1:4" x14ac:dyDescent="0.2">
      <c r="A311" s="125">
        <v>29</v>
      </c>
      <c r="B311" s="125">
        <f t="shared" si="45"/>
        <v>-0.48175367410171538</v>
      </c>
      <c r="C311" s="125">
        <f>ABS(CALCULATIONS!C24*B311)</f>
        <v>110.80334504339454</v>
      </c>
      <c r="D311" s="125">
        <f>((1/(fsw/kHz)*kHz)*M1M2_calc*data!C311)/(7*Rsense*Vout_nom)</f>
        <v>2.9671470864035676</v>
      </c>
    </row>
    <row r="312" spans="1:4" x14ac:dyDescent="0.2">
      <c r="A312" s="125">
        <v>30</v>
      </c>
      <c r="B312" s="125">
        <f t="shared" si="45"/>
        <v>-0.58778525229247269</v>
      </c>
      <c r="C312" s="125">
        <f>ABS(CALCULATIONS!C24*B312)</f>
        <v>135.19060802726872</v>
      </c>
      <c r="D312" s="125">
        <f>((1/(fsw/kHz)*kHz)*M1M2_calc*data!C312)/(7*Rsense*Vout_nom)</f>
        <v>3.6202013446447863</v>
      </c>
    </row>
    <row r="313" spans="1:4" x14ac:dyDescent="0.2">
      <c r="A313" s="125">
        <v>31</v>
      </c>
      <c r="B313" s="125">
        <f t="shared" si="45"/>
        <v>-0.68454710592868839</v>
      </c>
      <c r="C313" s="125">
        <f>ABS(CALCULATIONS!C24*B313)</f>
        <v>157.44583436359832</v>
      </c>
      <c r="D313" s="125">
        <f>((1/(fsw/kHz)*kHz)*M1M2_calc*data!C313)/(7*Rsense*Vout_nom)</f>
        <v>4.2161628650775027</v>
      </c>
    </row>
    <row r="314" spans="1:4" x14ac:dyDescent="0.2">
      <c r="A314" s="125">
        <v>32</v>
      </c>
      <c r="B314" s="125">
        <f t="shared" si="45"/>
        <v>-0.77051324277578936</v>
      </c>
      <c r="C314" s="125">
        <f>ABS(CALCULATIONS!C24*B314)</f>
        <v>177.21804583843155</v>
      </c>
      <c r="D314" s="125">
        <f>((1/(fsw/kHz)*kHz)*M1M2_calc*data!C314)/(7*Rsense*Vout_nom)</f>
        <v>4.745632978514335</v>
      </c>
    </row>
    <row r="315" spans="1:4" x14ac:dyDescent="0.2">
      <c r="A315" s="125">
        <v>33</v>
      </c>
      <c r="B315" s="125">
        <f t="shared" si="45"/>
        <v>-0.8443279255020153</v>
      </c>
      <c r="C315" s="125">
        <f>ABS(CALCULATIONS!C24*B315)</f>
        <v>194.19542286546351</v>
      </c>
      <c r="D315" s="125">
        <f>((1/(fsw/kHz)*kHz)*M1M2_calc*data!C315)/(7*Rsense*Vout_nom)</f>
        <v>5.2002616249762665</v>
      </c>
    </row>
    <row r="316" spans="1:4" x14ac:dyDescent="0.2">
      <c r="A316" s="125">
        <v>34</v>
      </c>
      <c r="B316" s="125">
        <f t="shared" si="45"/>
        <v>-0.9048270524660198</v>
      </c>
      <c r="C316" s="125">
        <f>ABS(CALCULATIONS!C24*B316)</f>
        <v>208.11022206718457</v>
      </c>
      <c r="D316" s="125">
        <f>((1/(fsw/kHz)*kHz)*M1M2_calc*data!C316)/(7*Rsense*Vout_nom)</f>
        <v>5.5728790391266028</v>
      </c>
    </row>
    <row r="317" spans="1:4" x14ac:dyDescent="0.2">
      <c r="A317" s="125">
        <v>35</v>
      </c>
      <c r="B317" s="125">
        <f t="shared" si="45"/>
        <v>-0.95105651629515353</v>
      </c>
      <c r="C317" s="125">
        <f>ABS(CALCULATIONS!C24*B317)</f>
        <v>218.74299874788531</v>
      </c>
      <c r="D317" s="125">
        <f>((1/(fsw/kHz)*kHz)*M1M2_calc*data!C317)/(7*Rsense*Vout_nom)</f>
        <v>5.85760882175334</v>
      </c>
    </row>
    <row r="318" spans="1:4" x14ac:dyDescent="0.2">
      <c r="A318" s="125">
        <v>36</v>
      </c>
      <c r="B318" s="125">
        <f t="shared" si="45"/>
        <v>-0.98228725072868872</v>
      </c>
      <c r="C318" s="125">
        <f>ABS(CALCULATIONS!C24*B318)</f>
        <v>225.9260676675984</v>
      </c>
      <c r="D318" s="125">
        <f>((1/(fsw/kHz)*kHz)*M1M2_calc*data!C318)/(7*Rsense*Vout_nom)</f>
        <v>6.0499606140951299</v>
      </c>
    </row>
    <row r="319" spans="1:4" x14ac:dyDescent="0.2">
      <c r="A319" s="125">
        <v>37</v>
      </c>
      <c r="B319" s="125">
        <f t="shared" si="45"/>
        <v>-0.99802672842827156</v>
      </c>
      <c r="C319" s="125">
        <f>ABS(CALCULATIONS!C24*B319)</f>
        <v>229.54614753850245</v>
      </c>
      <c r="D319" s="125">
        <f>((1/(fsw/kHz)*kHz)*M1M2_calc*data!C319)/(7*Rsense*Vout_nom)</f>
        <v>6.1469009134813488</v>
      </c>
    </row>
    <row r="320" spans="1:4" x14ac:dyDescent="0.2">
      <c r="A320" s="125">
        <v>38</v>
      </c>
      <c r="B320" s="125">
        <f t="shared" si="45"/>
        <v>-0.99802672842827156</v>
      </c>
      <c r="C320" s="125">
        <f>ABS(CALCULATIONS!C24*B320)</f>
        <v>229.54614753850245</v>
      </c>
      <c r="D320" s="125">
        <f>((1/(fsw/kHz)*kHz)*M1M2_calc*data!C320)/(7*Rsense*Vout_nom)</f>
        <v>6.1469009134813488</v>
      </c>
    </row>
    <row r="321" spans="1:4" x14ac:dyDescent="0.2">
      <c r="A321" s="125">
        <v>39</v>
      </c>
      <c r="B321" s="125">
        <f t="shared" si="45"/>
        <v>-0.98228725072868872</v>
      </c>
      <c r="C321" s="125">
        <f>ABS(CALCULATIONS!C24*B321)</f>
        <v>225.9260676675984</v>
      </c>
      <c r="D321" s="125">
        <f>((1/(fsw/kHz)*kHz)*M1M2_calc*data!C321)/(7*Rsense*Vout_nom)</f>
        <v>6.0499606140951299</v>
      </c>
    </row>
    <row r="322" spans="1:4" x14ac:dyDescent="0.2">
      <c r="A322" s="125">
        <v>40</v>
      </c>
      <c r="B322" s="125">
        <f t="shared" si="45"/>
        <v>-0.95105651629515364</v>
      </c>
      <c r="C322" s="125">
        <f>ABS(CALCULATIONS!C24*B322)</f>
        <v>218.74299874788534</v>
      </c>
      <c r="D322" s="125">
        <f>((1/(fsw/kHz)*kHz)*M1M2_calc*data!C322)/(7*Rsense*Vout_nom)</f>
        <v>5.8576088217533409</v>
      </c>
    </row>
    <row r="323" spans="1:4" x14ac:dyDescent="0.2">
      <c r="A323" s="125">
        <v>41</v>
      </c>
      <c r="B323" s="125">
        <f t="shared" si="45"/>
        <v>-0.90482705246601991</v>
      </c>
      <c r="C323" s="125">
        <f>ABS(CALCULATIONS!C24*B323)</f>
        <v>208.11022206718457</v>
      </c>
      <c r="D323" s="125">
        <f>((1/(fsw/kHz)*kHz)*M1M2_calc*data!C323)/(7*Rsense*Vout_nom)</f>
        <v>5.5728790391266028</v>
      </c>
    </row>
    <row r="324" spans="1:4" x14ac:dyDescent="0.2">
      <c r="A324" s="125">
        <v>42</v>
      </c>
      <c r="B324" s="125">
        <f t="shared" si="45"/>
        <v>-0.84432792550201496</v>
      </c>
      <c r="C324" s="125">
        <f>ABS(CALCULATIONS!C24*B324)</f>
        <v>194.19542286546343</v>
      </c>
      <c r="D324" s="125">
        <f>((1/(fsw/kHz)*kHz)*M1M2_calc*data!C324)/(7*Rsense*Vout_nom)</f>
        <v>5.200261624976263</v>
      </c>
    </row>
    <row r="325" spans="1:4" x14ac:dyDescent="0.2">
      <c r="A325" s="125">
        <v>43</v>
      </c>
      <c r="B325" s="125">
        <f t="shared" si="45"/>
        <v>-0.77051324277578959</v>
      </c>
      <c r="C325" s="125">
        <f>ABS(CALCULATIONS!C24*B325)</f>
        <v>177.21804583843161</v>
      </c>
      <c r="D325" s="125">
        <f>((1/(fsw/kHz)*kHz)*M1M2_calc*data!C325)/(7*Rsense*Vout_nom)</f>
        <v>4.7456329785143367</v>
      </c>
    </row>
    <row r="326" spans="1:4" x14ac:dyDescent="0.2">
      <c r="A326" s="125">
        <v>44</v>
      </c>
      <c r="B326" s="125">
        <f t="shared" si="45"/>
        <v>-0.68454710592868895</v>
      </c>
      <c r="C326" s="125">
        <f>ABS(CALCULATIONS!C24*B326)</f>
        <v>157.44583436359846</v>
      </c>
      <c r="D326" s="125">
        <f>((1/(fsw/kHz)*kHz)*M1M2_calc*data!C326)/(7*Rsense*Vout_nom)</f>
        <v>4.2161628650775063</v>
      </c>
    </row>
    <row r="327" spans="1:4" x14ac:dyDescent="0.2">
      <c r="A327" s="125">
        <v>45</v>
      </c>
      <c r="B327" s="125">
        <f t="shared" si="45"/>
        <v>-0.58778525229247336</v>
      </c>
      <c r="C327" s="125">
        <f>ABS(CALCULATIONS!C24*B327)</f>
        <v>135.19060802726887</v>
      </c>
      <c r="D327" s="125">
        <f>((1/(fsw/kHz)*kHz)*M1M2_calc*data!C327)/(7*Rsense*Vout_nom)</f>
        <v>3.6202013446447903</v>
      </c>
    </row>
    <row r="328" spans="1:4" x14ac:dyDescent="0.2">
      <c r="A328" s="125">
        <v>46</v>
      </c>
      <c r="B328" s="125">
        <f t="shared" si="45"/>
        <v>-0.4817536741017161</v>
      </c>
      <c r="C328" s="125">
        <f>ABS(CALCULATIONS!C24*B328)</f>
        <v>110.8033450433947</v>
      </c>
      <c r="D328" s="125">
        <f>((1/(fsw/kHz)*kHz)*M1M2_calc*data!C328)/(7*Rsense*Vout_nom)</f>
        <v>2.9671470864035716</v>
      </c>
    </row>
    <row r="329" spans="1:4" x14ac:dyDescent="0.2">
      <c r="A329" s="125">
        <v>47</v>
      </c>
      <c r="B329" s="125">
        <f t="shared" si="45"/>
        <v>-0.36812455268467786</v>
      </c>
      <c r="C329" s="125">
        <f>ABS(CALCULATIONS!C24*B329)</f>
        <v>84.668647117475913</v>
      </c>
      <c r="D329" s="125">
        <f>((1/(fsw/kHz)*kHz)*M1M2_calc*data!C329)/(7*Rsense*Vout_nom)</f>
        <v>2.2672991461220064</v>
      </c>
    </row>
    <row r="330" spans="1:4" x14ac:dyDescent="0.2">
      <c r="A330" s="125">
        <v>48</v>
      </c>
      <c r="B330" s="125">
        <f t="shared" si="45"/>
        <v>-0.24868988716485535</v>
      </c>
      <c r="C330" s="125">
        <f>ABS(CALCULATIONS!C24*B330)</f>
        <v>57.198674047916732</v>
      </c>
      <c r="D330" s="125">
        <f>((1/(fsw/kHz)*kHz)*M1M2_calc*data!C330)/(7*Rsense*Vout_nom)</f>
        <v>1.5316945438872471</v>
      </c>
    </row>
    <row r="331" spans="1:4" x14ac:dyDescent="0.2">
      <c r="A331" s="125">
        <v>49</v>
      </c>
      <c r="B331" s="125">
        <f t="shared" si="45"/>
        <v>-0.12533323356430465</v>
      </c>
      <c r="C331" s="125">
        <f>ABS(CALCULATIONS!C24*B331)</f>
        <v>28.82664371979007</v>
      </c>
      <c r="D331" s="125">
        <f>((1/(fsw/kHz)*kHz)*M1M2_calc*data!C331)/(7*Rsense*Vout_nom)</f>
        <v>0.77193420370541221</v>
      </c>
    </row>
    <row r="332" spans="1:4" x14ac:dyDescent="0.2">
      <c r="A332" s="125">
        <v>50</v>
      </c>
      <c r="B332" s="125">
        <f t="shared" si="45"/>
        <v>-2.45029690981724E-16</v>
      </c>
      <c r="C332" s="125">
        <f>ABS(CALCULATIONS!C24*B332)</f>
        <v>5.635682892579652E-14</v>
      </c>
      <c r="D332" s="125">
        <f>((1/(fsw/kHz)*kHz)*M1M2_calc*data!C332)/(7*Rsense*Vout_nom)</f>
        <v>1.509151196479064E-15</v>
      </c>
    </row>
    <row r="333" spans="1:4" x14ac:dyDescent="0.2">
      <c r="A333" s="125">
        <v>51</v>
      </c>
      <c r="B333" s="125">
        <f t="shared" si="45"/>
        <v>0.12533323356430418</v>
      </c>
      <c r="C333" s="125">
        <f>ABS(CALCULATIONS!C24*B333)</f>
        <v>28.82664371978996</v>
      </c>
      <c r="D333" s="125">
        <f>((1/(fsw/kHz)*kHz)*M1M2_calc*data!C333)/(7*Rsense*Vout_nom)</f>
        <v>0.77193420370540933</v>
      </c>
    </row>
    <row r="334" spans="1:4" x14ac:dyDescent="0.2">
      <c r="A334" s="125">
        <v>52</v>
      </c>
      <c r="B334" s="125">
        <f t="shared" si="45"/>
        <v>0.24868988716485488</v>
      </c>
      <c r="C334" s="125">
        <f>ABS(CALCULATIONS!C24*B334)</f>
        <v>57.198674047916619</v>
      </c>
      <c r="D334" s="125">
        <f>((1/(fsw/kHz)*kHz)*M1M2_calc*data!C334)/(7*Rsense*Vout_nom)</f>
        <v>1.5316945438872442</v>
      </c>
    </row>
    <row r="335" spans="1:4" x14ac:dyDescent="0.2">
      <c r="A335" s="125">
        <v>53</v>
      </c>
      <c r="B335" s="125">
        <f t="shared" si="45"/>
        <v>0.3681245526846782</v>
      </c>
      <c r="C335" s="125">
        <f>ABS(CALCULATIONS!C24*B335)</f>
        <v>84.668647117475984</v>
      </c>
      <c r="D335" s="125">
        <f>((1/(fsw/kHz)*kHz)*M1M2_calc*data!C335)/(7*Rsense*Vout_nom)</f>
        <v>2.2672991461220082</v>
      </c>
    </row>
    <row r="336" spans="1:4" x14ac:dyDescent="0.2">
      <c r="A336" s="125">
        <v>54</v>
      </c>
      <c r="B336" s="125">
        <f t="shared" si="45"/>
        <v>0.48175367410171488</v>
      </c>
      <c r="C336" s="125">
        <f>ABS(CALCULATIONS!C24*B336)</f>
        <v>110.80334504339442</v>
      </c>
      <c r="D336" s="125">
        <f>((1/(fsw/kHz)*kHz)*M1M2_calc*data!C336)/(7*Rsense*Vout_nom)</f>
        <v>2.9671470864035641</v>
      </c>
    </row>
    <row r="337" spans="1:4" x14ac:dyDescent="0.2">
      <c r="A337" s="125">
        <v>55</v>
      </c>
      <c r="B337" s="125">
        <f t="shared" si="45"/>
        <v>0.58778525229247292</v>
      </c>
      <c r="C337" s="125">
        <f>ABS(CALCULATIONS!C24*B337)</f>
        <v>135.19060802726878</v>
      </c>
      <c r="D337" s="125">
        <f>((1/(fsw/kHz)*kHz)*M1M2_calc*data!C337)/(7*Rsense*Vout_nom)</f>
        <v>3.6202013446447876</v>
      </c>
    </row>
    <row r="338" spans="1:4" x14ac:dyDescent="0.2">
      <c r="A338" s="125">
        <v>56</v>
      </c>
      <c r="B338" s="125">
        <f t="shared" si="45"/>
        <v>0.68454710592868862</v>
      </c>
      <c r="C338" s="125">
        <f>ABS(CALCULATIONS!C24*B338)</f>
        <v>157.44583436359838</v>
      </c>
      <c r="D338" s="125">
        <f>((1/(fsw/kHz)*kHz)*M1M2_calc*data!C338)/(7*Rsense*Vout_nom)</f>
        <v>4.2161628650775045</v>
      </c>
    </row>
    <row r="339" spans="1:4" x14ac:dyDescent="0.2">
      <c r="A339" s="125">
        <v>57</v>
      </c>
      <c r="B339" s="125">
        <f t="shared" si="45"/>
        <v>0.7705132427757887</v>
      </c>
      <c r="C339" s="125">
        <f>ABS(CALCULATIONS!C24*B339)</f>
        <v>177.21804583843141</v>
      </c>
      <c r="D339" s="125">
        <f>((1/(fsw/kHz)*kHz)*M1M2_calc*data!C339)/(7*Rsense*Vout_nom)</f>
        <v>4.7456329785143314</v>
      </c>
    </row>
    <row r="340" spans="1:4" x14ac:dyDescent="0.2">
      <c r="A340" s="125">
        <v>58</v>
      </c>
      <c r="B340" s="125">
        <f t="shared" si="45"/>
        <v>0.84432792550201519</v>
      </c>
      <c r="C340" s="125">
        <f>ABS(CALCULATIONS!C24*B340)</f>
        <v>194.19542286546348</v>
      </c>
      <c r="D340" s="125">
        <f>((1/(fsw/kHz)*kHz)*M1M2_calc*data!C340)/(7*Rsense*Vout_nom)</f>
        <v>5.2002616249762657</v>
      </c>
    </row>
    <row r="341" spans="1:4" x14ac:dyDescent="0.2">
      <c r="A341" s="125">
        <v>59</v>
      </c>
      <c r="B341" s="125">
        <f t="shared" si="45"/>
        <v>0.90482705246601935</v>
      </c>
      <c r="C341" s="125">
        <f>ABS(CALCULATIONS!C24*B341)</f>
        <v>208.11022206718445</v>
      </c>
      <c r="D341" s="125">
        <f>((1/(fsw/kHz)*kHz)*M1M2_calc*data!C341)/(7*Rsense*Vout_nom)</f>
        <v>5.5728790391266001</v>
      </c>
    </row>
    <row r="342" spans="1:4" x14ac:dyDescent="0.2">
      <c r="A342" s="125">
        <v>60</v>
      </c>
      <c r="B342" s="125">
        <f t="shared" si="45"/>
        <v>0.9510565162951532</v>
      </c>
      <c r="C342" s="125">
        <f>ABS(CALCULATIONS!C24*B342)</f>
        <v>218.74299874788522</v>
      </c>
      <c r="D342" s="125">
        <f>((1/(fsw/kHz)*kHz)*M1M2_calc*data!C342)/(7*Rsense*Vout_nom)</f>
        <v>5.8576088217533373</v>
      </c>
    </row>
    <row r="343" spans="1:4" x14ac:dyDescent="0.2">
      <c r="A343" s="125">
        <v>61</v>
      </c>
      <c r="B343" s="125">
        <f t="shared" si="45"/>
        <v>0.98228725072868861</v>
      </c>
      <c r="C343" s="125">
        <f>ABS(CALCULATIONS!C24*B343)</f>
        <v>225.92606766759837</v>
      </c>
      <c r="D343" s="125">
        <f>((1/(fsw/kHz)*kHz)*M1M2_calc*data!C343)/(7*Rsense*Vout_nom)</f>
        <v>6.0499606140951299</v>
      </c>
    </row>
    <row r="344" spans="1:4" x14ac:dyDescent="0.2">
      <c r="A344" s="125">
        <v>62</v>
      </c>
      <c r="B344" s="125">
        <f t="shared" si="45"/>
        <v>0.99802672842827156</v>
      </c>
      <c r="C344" s="125">
        <f>ABS(CALCULATIONS!C24*B344)</f>
        <v>229.54614753850245</v>
      </c>
      <c r="D344" s="125">
        <f>((1/(fsw/kHz)*kHz)*M1M2_calc*data!C344)/(7*Rsense*Vout_nom)</f>
        <v>6.1469009134813488</v>
      </c>
    </row>
    <row r="345" spans="1:4" x14ac:dyDescent="0.2">
      <c r="A345" s="125">
        <v>63</v>
      </c>
      <c r="B345" s="125">
        <f t="shared" si="45"/>
        <v>0.99802672842827156</v>
      </c>
      <c r="C345" s="125">
        <f>ABS(CALCULATIONS!C24*B345)</f>
        <v>229.54614753850245</v>
      </c>
      <c r="D345" s="125">
        <f>((1/(fsw/kHz)*kHz)*M1M2_calc*data!C345)/(7*Rsense*Vout_nom)</f>
        <v>6.1469009134813488</v>
      </c>
    </row>
    <row r="346" spans="1:4" x14ac:dyDescent="0.2">
      <c r="A346" s="125">
        <v>64</v>
      </c>
      <c r="B346" s="125">
        <f t="shared" si="45"/>
        <v>0.98228725072868861</v>
      </c>
      <c r="C346" s="125">
        <f>ABS(CALCULATIONS!C24*B346)</f>
        <v>225.92606766759837</v>
      </c>
      <c r="D346" s="125">
        <f>((1/(fsw/kHz)*kHz)*M1M2_calc*data!C346)/(7*Rsense*Vout_nom)</f>
        <v>6.0499606140951299</v>
      </c>
    </row>
    <row r="347" spans="1:4" x14ac:dyDescent="0.2">
      <c r="A347" s="125">
        <v>65</v>
      </c>
      <c r="B347" s="125">
        <f t="shared" si="45"/>
        <v>0.95105651629515364</v>
      </c>
      <c r="C347" s="125">
        <f>ABS(CALCULATIONS!C24*B347)</f>
        <v>218.74299874788534</v>
      </c>
      <c r="D347" s="125">
        <f>((1/(fsw/kHz)*kHz)*M1M2_calc*data!C347)/(7*Rsense*Vout_nom)</f>
        <v>5.8576088217533409</v>
      </c>
    </row>
    <row r="348" spans="1:4" x14ac:dyDescent="0.2">
      <c r="A348" s="125">
        <v>66</v>
      </c>
      <c r="B348" s="125">
        <f t="shared" ref="B348:B382" si="46">SIN(4*PI()*A348/100)</f>
        <v>0.90482705246601924</v>
      </c>
      <c r="C348" s="125">
        <f>ABS(CALCULATIONS!C24*B348)</f>
        <v>208.11022206718442</v>
      </c>
      <c r="D348" s="125">
        <f>((1/(fsw/kHz)*kHz)*M1M2_calc*data!C348)/(7*Rsense*Vout_nom)</f>
        <v>5.5728790391266001</v>
      </c>
    </row>
    <row r="349" spans="1:4" x14ac:dyDescent="0.2">
      <c r="A349" s="125">
        <v>67</v>
      </c>
      <c r="B349" s="125">
        <f t="shared" si="46"/>
        <v>0.84432792550201508</v>
      </c>
      <c r="C349" s="125">
        <f>ABS(CALCULATIONS!C24*B349)</f>
        <v>194.19542286546346</v>
      </c>
      <c r="D349" s="125">
        <f>((1/(fsw/kHz)*kHz)*M1M2_calc*data!C349)/(7*Rsense*Vout_nom)</f>
        <v>5.2002616249762639</v>
      </c>
    </row>
    <row r="350" spans="1:4" x14ac:dyDescent="0.2">
      <c r="A350" s="125">
        <v>68</v>
      </c>
      <c r="B350" s="125">
        <f t="shared" si="46"/>
        <v>0.77051324277578859</v>
      </c>
      <c r="C350" s="125">
        <f>ABS(CALCULATIONS!C24*B350)</f>
        <v>177.21804583843138</v>
      </c>
      <c r="D350" s="125">
        <f>((1/(fsw/kHz)*kHz)*M1M2_calc*data!C350)/(7*Rsense*Vout_nom)</f>
        <v>4.7456329785143305</v>
      </c>
    </row>
    <row r="351" spans="1:4" x14ac:dyDescent="0.2">
      <c r="A351" s="125">
        <v>69</v>
      </c>
      <c r="B351" s="125">
        <f t="shared" si="46"/>
        <v>0.68454710592868839</v>
      </c>
      <c r="C351" s="125">
        <f>ABS(CALCULATIONS!C24*B351)</f>
        <v>157.44583436359832</v>
      </c>
      <c r="D351" s="125">
        <f>((1/(fsw/kHz)*kHz)*M1M2_calc*data!C351)/(7*Rsense*Vout_nom)</f>
        <v>4.2161628650775027</v>
      </c>
    </row>
    <row r="352" spans="1:4" x14ac:dyDescent="0.2">
      <c r="A352" s="125">
        <v>70</v>
      </c>
      <c r="B352" s="125">
        <f t="shared" si="46"/>
        <v>0.58778525229247336</v>
      </c>
      <c r="C352" s="125">
        <f>ABS(CALCULATIONS!C24*B352)</f>
        <v>135.19060802726887</v>
      </c>
      <c r="D352" s="125">
        <f>((1/(fsw/kHz)*kHz)*M1M2_calc*data!C352)/(7*Rsense*Vout_nom)</f>
        <v>3.6202013446447903</v>
      </c>
    </row>
    <row r="353" spans="1:4" x14ac:dyDescent="0.2">
      <c r="A353" s="125">
        <v>71</v>
      </c>
      <c r="B353" s="125">
        <f t="shared" si="46"/>
        <v>0.48175367410171466</v>
      </c>
      <c r="C353" s="125">
        <f>ABS(CALCULATIONS!C24*B353)</f>
        <v>110.80334504339437</v>
      </c>
      <c r="D353" s="125">
        <f>((1/(fsw/kHz)*kHz)*M1M2_calc*data!C353)/(7*Rsense*Vout_nom)</f>
        <v>2.9671470864035627</v>
      </c>
    </row>
    <row r="354" spans="1:4" x14ac:dyDescent="0.2">
      <c r="A354" s="125">
        <v>72</v>
      </c>
      <c r="B354" s="125">
        <f t="shared" si="46"/>
        <v>0.36812455268467797</v>
      </c>
      <c r="C354" s="125">
        <f>ABS(CALCULATIONS!C24*B354)</f>
        <v>84.668647117475928</v>
      </c>
      <c r="D354" s="125">
        <f>((1/(fsw/kHz)*kHz)*M1M2_calc*data!C354)/(7*Rsense*Vout_nom)</f>
        <v>2.2672991461220064</v>
      </c>
    </row>
    <row r="355" spans="1:4" x14ac:dyDescent="0.2">
      <c r="A355" s="125">
        <v>73</v>
      </c>
      <c r="B355" s="125">
        <f t="shared" si="46"/>
        <v>0.24868988716485549</v>
      </c>
      <c r="C355" s="125">
        <f>ABS(CALCULATIONS!C24*B355)</f>
        <v>57.198674047916761</v>
      </c>
      <c r="D355" s="125">
        <f>((1/(fsw/kHz)*kHz)*M1M2_calc*data!C355)/(7*Rsense*Vout_nom)</f>
        <v>1.5316945438872478</v>
      </c>
    </row>
    <row r="356" spans="1:4" x14ac:dyDescent="0.2">
      <c r="A356" s="125">
        <v>74</v>
      </c>
      <c r="B356" s="125">
        <f t="shared" si="46"/>
        <v>0.1253332335643039</v>
      </c>
      <c r="C356" s="125">
        <f>ABS(CALCULATIONS!C24*B356)</f>
        <v>28.826643719789896</v>
      </c>
      <c r="D356" s="125">
        <f>((1/(fsw/kHz)*kHz)*M1M2_calc*data!C356)/(7*Rsense*Vout_nom)</f>
        <v>0.77193420370540755</v>
      </c>
    </row>
    <row r="357" spans="1:4" x14ac:dyDescent="0.2">
      <c r="A357" s="125">
        <v>75</v>
      </c>
      <c r="B357" s="125">
        <f t="shared" si="46"/>
        <v>3.67544536472586E-16</v>
      </c>
      <c r="C357" s="125">
        <f>ABS(CALCULATIONS!C24*B357)</f>
        <v>8.4535243388694781E-14</v>
      </c>
      <c r="D357" s="125">
        <f>((1/(fsw/kHz)*kHz)*M1M2_calc*data!C357)/(7*Rsense*Vout_nom)</f>
        <v>2.2637267947185956E-15</v>
      </c>
    </row>
    <row r="358" spans="1:4" x14ac:dyDescent="0.2">
      <c r="A358" s="125">
        <v>76</v>
      </c>
      <c r="B358" s="125">
        <f t="shared" si="46"/>
        <v>-0.12533323356430318</v>
      </c>
      <c r="C358" s="125">
        <f>ABS(CALCULATIONS!C24*B358)</f>
        <v>28.826643719789729</v>
      </c>
      <c r="D358" s="125">
        <f>((1/(fsw/kHz)*kHz)*M1M2_calc*data!C358)/(7*Rsense*Vout_nom)</f>
        <v>0.77193420370540311</v>
      </c>
    </row>
    <row r="359" spans="1:4" x14ac:dyDescent="0.2">
      <c r="A359" s="125">
        <v>77</v>
      </c>
      <c r="B359" s="125">
        <f t="shared" si="46"/>
        <v>-0.24868988716485477</v>
      </c>
      <c r="C359" s="125">
        <f>ABS(CALCULATIONS!C24*B359)</f>
        <v>57.198674047916597</v>
      </c>
      <c r="D359" s="125">
        <f>((1/(fsw/kHz)*kHz)*M1M2_calc*data!C359)/(7*Rsense*Vout_nom)</f>
        <v>1.5316945438872438</v>
      </c>
    </row>
    <row r="360" spans="1:4" x14ac:dyDescent="0.2">
      <c r="A360" s="125">
        <v>78</v>
      </c>
      <c r="B360" s="125">
        <f t="shared" si="46"/>
        <v>-0.36812455268467725</v>
      </c>
      <c r="C360" s="125">
        <f>ABS(CALCULATIONS!C24*B360)</f>
        <v>84.668647117475771</v>
      </c>
      <c r="D360" s="125">
        <f>((1/(fsw/kHz)*kHz)*M1M2_calc*data!C360)/(7*Rsense*Vout_nom)</f>
        <v>2.2672991461220025</v>
      </c>
    </row>
    <row r="361" spans="1:4" x14ac:dyDescent="0.2">
      <c r="A361" s="125">
        <v>79</v>
      </c>
      <c r="B361" s="125">
        <f t="shared" si="46"/>
        <v>-0.48175367410171555</v>
      </c>
      <c r="C361" s="125">
        <f>ABS(CALCULATIONS!C24*B361)</f>
        <v>110.80334504339457</v>
      </c>
      <c r="D361" s="125">
        <f>((1/(fsw/kHz)*kHz)*M1M2_calc*data!C361)/(7*Rsense*Vout_nom)</f>
        <v>2.9671470864035681</v>
      </c>
    </row>
    <row r="362" spans="1:4" x14ac:dyDescent="0.2">
      <c r="A362" s="125">
        <v>80</v>
      </c>
      <c r="B362" s="125">
        <f t="shared" si="46"/>
        <v>-0.5877852522924728</v>
      </c>
      <c r="C362" s="125">
        <f>ABS(CALCULATIONS!C24*B362)</f>
        <v>135.19060802726875</v>
      </c>
      <c r="D362" s="125">
        <f>((1/(fsw/kHz)*kHz)*M1M2_calc*data!C362)/(7*Rsense*Vout_nom)</f>
        <v>3.6202013446447872</v>
      </c>
    </row>
    <row r="363" spans="1:4" x14ac:dyDescent="0.2">
      <c r="A363" s="125">
        <v>81</v>
      </c>
      <c r="B363" s="125">
        <f t="shared" si="46"/>
        <v>-0.68454710592868784</v>
      </c>
      <c r="C363" s="125">
        <f>ABS(CALCULATIONS!C24*B363)</f>
        <v>157.44583436359821</v>
      </c>
      <c r="D363" s="125">
        <f>((1/(fsw/kHz)*kHz)*M1M2_calc*data!C363)/(7*Rsense*Vout_nom)</f>
        <v>4.2161628650774992</v>
      </c>
    </row>
    <row r="364" spans="1:4" x14ac:dyDescent="0.2">
      <c r="A364" s="125">
        <v>82</v>
      </c>
      <c r="B364" s="125">
        <f t="shared" si="46"/>
        <v>-0.77051324277578803</v>
      </c>
      <c r="C364" s="125">
        <f>ABS(CALCULATIONS!C24*B364)</f>
        <v>177.21804583843124</v>
      </c>
      <c r="D364" s="125">
        <f>((1/(fsw/kHz)*kHz)*M1M2_calc*data!C364)/(7*Rsense*Vout_nom)</f>
        <v>4.745632978514327</v>
      </c>
    </row>
    <row r="365" spans="1:4" x14ac:dyDescent="0.2">
      <c r="A365" s="125">
        <v>83</v>
      </c>
      <c r="B365" s="125">
        <f t="shared" si="46"/>
        <v>-0.84432792550201563</v>
      </c>
      <c r="C365" s="125">
        <f>ABS(CALCULATIONS!C24*B365)</f>
        <v>194.1954228654636</v>
      </c>
      <c r="D365" s="125">
        <f>((1/(fsw/kHz)*kHz)*M1M2_calc*data!C365)/(7*Rsense*Vout_nom)</f>
        <v>5.2002616249762683</v>
      </c>
    </row>
    <row r="366" spans="1:4" x14ac:dyDescent="0.2">
      <c r="A366" s="125">
        <v>84</v>
      </c>
      <c r="B366" s="125">
        <f t="shared" si="46"/>
        <v>-0.90482705246601969</v>
      </c>
      <c r="C366" s="125">
        <f>ABS(CALCULATIONS!C24*B366)</f>
        <v>208.11022206718454</v>
      </c>
      <c r="D366" s="125">
        <f>((1/(fsw/kHz)*kHz)*M1M2_calc*data!C366)/(7*Rsense*Vout_nom)</f>
        <v>5.5728790391266028</v>
      </c>
    </row>
    <row r="367" spans="1:4" x14ac:dyDescent="0.2">
      <c r="A367" s="125">
        <v>85</v>
      </c>
      <c r="B367" s="125">
        <f t="shared" si="46"/>
        <v>-0.95105651629515342</v>
      </c>
      <c r="C367" s="125">
        <f>ABS(CALCULATIONS!C24*B367)</f>
        <v>218.74299874788528</v>
      </c>
      <c r="D367" s="125">
        <f>((1/(fsw/kHz)*kHz)*M1M2_calc*data!C367)/(7*Rsense*Vout_nom)</f>
        <v>5.85760882175334</v>
      </c>
    </row>
    <row r="368" spans="1:4" x14ac:dyDescent="0.2">
      <c r="A368" s="125">
        <v>86</v>
      </c>
      <c r="B368" s="125">
        <f t="shared" si="46"/>
        <v>-0.9822872507286885</v>
      </c>
      <c r="C368" s="125">
        <f>ABS(CALCULATIONS!C24*B368)</f>
        <v>225.92606766759835</v>
      </c>
      <c r="D368" s="125">
        <f>((1/(fsw/kHz)*kHz)*M1M2_calc*data!C368)/(7*Rsense*Vout_nom)</f>
        <v>6.0499606140951281</v>
      </c>
    </row>
    <row r="369" spans="1:4" x14ac:dyDescent="0.2">
      <c r="A369" s="125">
        <v>87</v>
      </c>
      <c r="B369" s="125">
        <f t="shared" si="46"/>
        <v>-0.99802672842827145</v>
      </c>
      <c r="C369" s="125">
        <f>ABS(CALCULATIONS!C24*B369)</f>
        <v>229.54614753850242</v>
      </c>
      <c r="D369" s="125">
        <f>((1/(fsw/kHz)*kHz)*M1M2_calc*data!C369)/(7*Rsense*Vout_nom)</f>
        <v>6.146900913481347</v>
      </c>
    </row>
    <row r="370" spans="1:4" x14ac:dyDescent="0.2">
      <c r="A370" s="125">
        <v>88</v>
      </c>
      <c r="B370" s="125">
        <f t="shared" si="46"/>
        <v>-0.99802672842827156</v>
      </c>
      <c r="C370" s="125">
        <f>ABS(CALCULATIONS!C24*B370)</f>
        <v>229.54614753850245</v>
      </c>
      <c r="D370" s="125">
        <f>((1/(fsw/kHz)*kHz)*M1M2_calc*data!C370)/(7*Rsense*Vout_nom)</f>
        <v>6.1469009134813488</v>
      </c>
    </row>
    <row r="371" spans="1:4" x14ac:dyDescent="0.2">
      <c r="A371" s="125">
        <v>89</v>
      </c>
      <c r="B371" s="125">
        <f t="shared" si="46"/>
        <v>-0.98228725072868861</v>
      </c>
      <c r="C371" s="125">
        <f>ABS(CALCULATIONS!C24*B371)</f>
        <v>225.92606766759837</v>
      </c>
      <c r="D371" s="125">
        <f>((1/(fsw/kHz)*kHz)*M1M2_calc*data!C371)/(7*Rsense*Vout_nom)</f>
        <v>6.0499606140951299</v>
      </c>
    </row>
    <row r="372" spans="1:4" x14ac:dyDescent="0.2">
      <c r="A372" s="125">
        <v>90</v>
      </c>
      <c r="B372" s="125">
        <f t="shared" si="46"/>
        <v>-0.95105651629515375</v>
      </c>
      <c r="C372" s="125">
        <f>ABS(CALCULATIONS!C24*B372)</f>
        <v>218.74299874788537</v>
      </c>
      <c r="D372" s="125">
        <f>((1/(fsw/kHz)*kHz)*M1M2_calc*data!C372)/(7*Rsense*Vout_nom)</f>
        <v>5.8576088217533417</v>
      </c>
    </row>
    <row r="373" spans="1:4" x14ac:dyDescent="0.2">
      <c r="A373" s="125">
        <v>91</v>
      </c>
      <c r="B373" s="125">
        <f t="shared" si="46"/>
        <v>-0.90482705246602002</v>
      </c>
      <c r="C373" s="125">
        <f>ABS(CALCULATIONS!C24*B373)</f>
        <v>208.11022206718459</v>
      </c>
      <c r="D373" s="125">
        <f>((1/(fsw/kHz)*kHz)*M1M2_calc*data!C373)/(7*Rsense*Vout_nom)</f>
        <v>5.5728790391266045</v>
      </c>
    </row>
    <row r="374" spans="1:4" x14ac:dyDescent="0.2">
      <c r="A374" s="125">
        <v>92</v>
      </c>
      <c r="B374" s="125">
        <f t="shared" si="46"/>
        <v>-0.84432792550201607</v>
      </c>
      <c r="C374" s="125">
        <f>ABS(CALCULATIONS!C24*B374)</f>
        <v>194.19542286546368</v>
      </c>
      <c r="D374" s="125">
        <f>((1/(fsw/kHz)*kHz)*M1M2_calc*data!C374)/(7*Rsense*Vout_nom)</f>
        <v>5.2002616249762701</v>
      </c>
    </row>
    <row r="375" spans="1:4" x14ac:dyDescent="0.2">
      <c r="A375" s="125">
        <v>93</v>
      </c>
      <c r="B375" s="125">
        <f t="shared" si="46"/>
        <v>-0.7705132427757897</v>
      </c>
      <c r="C375" s="125">
        <f>ABS(CALCULATIONS!C24*B375)</f>
        <v>177.21804583843164</v>
      </c>
      <c r="D375" s="125">
        <f>((1/(fsw/kHz)*kHz)*M1M2_calc*data!C375)/(7*Rsense*Vout_nom)</f>
        <v>4.7456329785143367</v>
      </c>
    </row>
    <row r="376" spans="1:4" x14ac:dyDescent="0.2">
      <c r="A376" s="125">
        <v>94</v>
      </c>
      <c r="B376" s="125">
        <f t="shared" si="46"/>
        <v>-0.6845471059286885</v>
      </c>
      <c r="C376" s="125">
        <f>ABS(CALCULATIONS!C24*B376)</f>
        <v>157.44583436359835</v>
      </c>
      <c r="D376" s="125">
        <f>((1/(fsw/kHz)*kHz)*M1M2_calc*data!C376)/(7*Rsense*Vout_nom)</f>
        <v>4.2161628650775036</v>
      </c>
    </row>
    <row r="377" spans="1:4" x14ac:dyDescent="0.2">
      <c r="A377" s="125">
        <v>95</v>
      </c>
      <c r="B377" s="125">
        <f t="shared" si="46"/>
        <v>-0.58778525229247347</v>
      </c>
      <c r="C377" s="125">
        <f>ABS(CALCULATIONS!C24*B377)</f>
        <v>135.19060802726889</v>
      </c>
      <c r="D377" s="125">
        <f>((1/(fsw/kHz)*kHz)*M1M2_calc*data!C377)/(7*Rsense*Vout_nom)</f>
        <v>3.6202013446447907</v>
      </c>
    </row>
    <row r="378" spans="1:4" x14ac:dyDescent="0.2">
      <c r="A378" s="125">
        <v>96</v>
      </c>
      <c r="B378" s="125">
        <f t="shared" si="46"/>
        <v>-0.48175367410171632</v>
      </c>
      <c r="C378" s="125">
        <f>ABS(CALCULATIONS!C24*B378)</f>
        <v>110.80334504339476</v>
      </c>
      <c r="D378" s="125">
        <f>((1/(fsw/kHz)*kHz)*M1M2_calc*data!C378)/(7*Rsense*Vout_nom)</f>
        <v>2.9671470864035734</v>
      </c>
    </row>
    <row r="379" spans="1:4" x14ac:dyDescent="0.2">
      <c r="A379" s="125">
        <v>97</v>
      </c>
      <c r="B379" s="125">
        <f t="shared" si="46"/>
        <v>-0.36812455268467809</v>
      </c>
      <c r="C379" s="125">
        <f>ABS(CALCULATIONS!C24*B379)</f>
        <v>84.668647117475956</v>
      </c>
      <c r="D379" s="125">
        <f>((1/(fsw/kHz)*kHz)*M1M2_calc*data!C379)/(7*Rsense*Vout_nom)</f>
        <v>2.2672991461220073</v>
      </c>
    </row>
    <row r="380" spans="1:4" x14ac:dyDescent="0.2">
      <c r="A380" s="125">
        <v>98</v>
      </c>
      <c r="B380" s="125">
        <f t="shared" si="46"/>
        <v>-0.2486898871648556</v>
      </c>
      <c r="C380" s="125">
        <f>ABS(CALCULATIONS!C24*B380)</f>
        <v>57.198674047916789</v>
      </c>
      <c r="D380" s="125">
        <f>((1/(fsw/kHz)*kHz)*M1M2_calc*data!C380)/(7*Rsense*Vout_nom)</f>
        <v>1.5316945438872487</v>
      </c>
    </row>
    <row r="381" spans="1:4" x14ac:dyDescent="0.2">
      <c r="A381" s="125">
        <v>99</v>
      </c>
      <c r="B381" s="125">
        <f t="shared" si="46"/>
        <v>-0.12533323356430401</v>
      </c>
      <c r="C381" s="125">
        <f>ABS(CALCULATIONS!C24*B381)</f>
        <v>28.826643719789921</v>
      </c>
      <c r="D381" s="125">
        <f>((1/(fsw/kHz)*kHz)*M1M2_calc*data!C381)/(7*Rsense*Vout_nom)</f>
        <v>0.77193420370540822</v>
      </c>
    </row>
    <row r="382" spans="1:4" x14ac:dyDescent="0.2">
      <c r="A382" s="125">
        <v>100</v>
      </c>
      <c r="B382" s="125">
        <f t="shared" si="46"/>
        <v>-4.90059381963448E-16</v>
      </c>
      <c r="C382" s="125">
        <f>ABS(CALCULATIONS!C24*B382)</f>
        <v>1.1271365785159304E-13</v>
      </c>
      <c r="D382" s="125">
        <f>((1/(fsw/kHz)*kHz)*M1M2_calc*data!C382)/(7*Rsense*Vout_nom)</f>
        <v>3.0183023929581279E-15</v>
      </c>
    </row>
  </sheetData>
  <sheetProtection password="E59D" sheet="1" objects="1" scenarios="1"/>
  <mergeCells count="13">
    <mergeCell ref="P202:Q202"/>
    <mergeCell ref="R202:T202"/>
    <mergeCell ref="M203:N203"/>
    <mergeCell ref="A271:D271"/>
    <mergeCell ref="A201:F201"/>
    <mergeCell ref="A30:D30"/>
    <mergeCell ref="K203:L203"/>
    <mergeCell ref="G201:O201"/>
    <mergeCell ref="A202:A204"/>
    <mergeCell ref="D203:E203"/>
    <mergeCell ref="G202:G204"/>
    <mergeCell ref="O202:O203"/>
    <mergeCell ref="G75:H75"/>
  </mergeCells>
  <phoneticPr fontId="6" type="noConversion"/>
  <pageMargins left="0.75" right="0.75" top="1" bottom="1" header="0.5" footer="0.5"/>
  <pageSetup orientation="portrait" r:id="rId1"/>
  <headerFooter alignWithMargins="0"/>
  <ignoredErrors>
    <ignoredError sqref="R205 C22 M205:M206 M207:M223 M224:M253 M254:M265 R206:R265"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189</vt:i4>
      </vt:variant>
    </vt:vector>
  </HeadingPairs>
  <TitlesOfParts>
    <vt:vector size="193" baseType="lpstr">
      <vt:lpstr>INSTRUCTIONS READ ME FIRST!</vt:lpstr>
      <vt:lpstr>CALCULATIONS</vt:lpstr>
      <vt:lpstr>SCHEMATIC</vt:lpstr>
      <vt:lpstr>data</vt:lpstr>
      <vt:lpstr>_Rfb1</vt:lpstr>
      <vt:lpstr>_Rfb2</vt:lpstr>
      <vt:lpstr>a_1</vt:lpstr>
      <vt:lpstr>a_2</vt:lpstr>
      <vt:lpstr>a_3</vt:lpstr>
      <vt:lpstr>b_1</vt:lpstr>
      <vt:lpstr>b_2</vt:lpstr>
      <vt:lpstr>b_3</vt:lpstr>
      <vt:lpstr>c_1</vt:lpstr>
      <vt:lpstr>c_2</vt:lpstr>
      <vt:lpstr>Cicomp</vt:lpstr>
      <vt:lpstr>Cin</vt:lpstr>
      <vt:lpstr>Cisense</vt:lpstr>
      <vt:lpstr>Coss</vt:lpstr>
      <vt:lpstr>Cout</vt:lpstr>
      <vt:lpstr>Cvcomp</vt:lpstr>
      <vt:lpstr>Cvcomp_p</vt:lpstr>
      <vt:lpstr>Cvins</vt:lpstr>
      <vt:lpstr>Cvins_hu</vt:lpstr>
      <vt:lpstr>Cvsense</vt:lpstr>
      <vt:lpstr>d_1</vt:lpstr>
      <vt:lpstr>d_2</vt:lpstr>
      <vt:lpstr>delta_Rfb1</vt:lpstr>
      <vt:lpstr>delta_Rfb2</vt:lpstr>
      <vt:lpstr>Dmax</vt:lpstr>
      <vt:lpstr>CALCULATIONS!Druckbereich</vt:lpstr>
      <vt:lpstr>e_1</vt:lpstr>
      <vt:lpstr>e_2</vt:lpstr>
      <vt:lpstr>eff</vt:lpstr>
      <vt:lpstr>f_1</vt:lpstr>
      <vt:lpstr>f_2</vt:lpstr>
      <vt:lpstr>f_Iavg</vt:lpstr>
      <vt:lpstr>f_iavgactual</vt:lpstr>
      <vt:lpstr>fline_max</vt:lpstr>
      <vt:lpstr>fline_min</vt:lpstr>
      <vt:lpstr>fline_nom</vt:lpstr>
      <vt:lpstr>fpole</vt:lpstr>
      <vt:lpstr>fPWM_PSpole</vt:lpstr>
      <vt:lpstr>fsw</vt:lpstr>
      <vt:lpstr>fv</vt:lpstr>
      <vt:lpstr>fzero</vt:lpstr>
      <vt:lpstr>g_1</vt:lpstr>
      <vt:lpstr>g_2</vt:lpstr>
      <vt:lpstr>g_mi</vt:lpstr>
      <vt:lpstr>g_mv</vt:lpstr>
      <vt:lpstr>GVL_dB</vt:lpstr>
      <vt:lpstr>HU_rqment</vt:lpstr>
      <vt:lpstr>I_Lpeak</vt:lpstr>
      <vt:lpstr>Ibridge</vt:lpstr>
      <vt:lpstr>Icout_2fline</vt:lpstr>
      <vt:lpstr>Icout_HF</vt:lpstr>
      <vt:lpstr>Icout_rms</vt:lpstr>
      <vt:lpstr>Ids_rms</vt:lpstr>
      <vt:lpstr>Ifuse</vt:lpstr>
      <vt:lpstr>Iin_avg_max</vt:lpstr>
      <vt:lpstr>Iin_peak_max</vt:lpstr>
      <vt:lpstr>Iin_rms_max</vt:lpstr>
      <vt:lpstr>Iinrush</vt:lpstr>
      <vt:lpstr>IISENSE</vt:lpstr>
      <vt:lpstr>Il_peak_actual</vt:lpstr>
      <vt:lpstr>Iout</vt:lpstr>
      <vt:lpstr>Iout_OC</vt:lpstr>
      <vt:lpstr>Ipcl</vt:lpstr>
      <vt:lpstr>Iripple</vt:lpstr>
      <vt:lpstr>Iripple_actual</vt:lpstr>
      <vt:lpstr>Isoc</vt:lpstr>
      <vt:lpstr>Ivins</vt:lpstr>
      <vt:lpstr>K_1</vt:lpstr>
      <vt:lpstr>K_fq</vt:lpstr>
      <vt:lpstr>kHz</vt:lpstr>
      <vt:lpstr>kOhm</vt:lpstr>
      <vt:lpstr>L_I_ripple_factor</vt:lpstr>
      <vt:lpstr>Lbst</vt:lpstr>
      <vt:lpstr>M_1</vt:lpstr>
      <vt:lpstr>M_2</vt:lpstr>
      <vt:lpstr>M_3</vt:lpstr>
      <vt:lpstr>M1M2_calc</vt:lpstr>
      <vt:lpstr>mA</vt:lpstr>
      <vt:lpstr>MegOhm</vt:lpstr>
      <vt:lpstr>mH</vt:lpstr>
      <vt:lpstr>MHz</vt:lpstr>
      <vt:lpstr>mOhm</vt:lpstr>
      <vt:lpstr>ms</vt:lpstr>
      <vt:lpstr>mSiemens</vt:lpstr>
      <vt:lpstr>mV</vt:lpstr>
      <vt:lpstr>mW</vt:lpstr>
      <vt:lpstr>nC</vt:lpstr>
      <vt:lpstr>Ndropout</vt:lpstr>
      <vt:lpstr>nF</vt:lpstr>
      <vt:lpstr>Nibop</vt:lpstr>
      <vt:lpstr>Ninput_hup</vt:lpstr>
      <vt:lpstr>ns</vt:lpstr>
      <vt:lpstr>P_FET</vt:lpstr>
      <vt:lpstr>P_FETcond</vt:lpstr>
      <vt:lpstr>P_FETgate</vt:lpstr>
      <vt:lpstr>P_FETsw</vt:lpstr>
      <vt:lpstr>P_Rsense</vt:lpstr>
      <vt:lpstr>P_rvins</vt:lpstr>
      <vt:lpstr>P_rvins1</vt:lpstr>
      <vt:lpstr>Pbridge</vt:lpstr>
      <vt:lpstr>Pdiode</vt:lpstr>
      <vt:lpstr>Pdiode_cond</vt:lpstr>
      <vt:lpstr>Pdiode_reverse</vt:lpstr>
      <vt:lpstr>Pdivider</vt:lpstr>
      <vt:lpstr>PF</vt:lpstr>
      <vt:lpstr>picoF</vt:lpstr>
      <vt:lpstr>Pin_max</vt:lpstr>
      <vt:lpstr>Pout</vt:lpstr>
      <vt:lpstr>Prsense</vt:lpstr>
      <vt:lpstr>Pvins</vt:lpstr>
      <vt:lpstr>Qg</vt:lpstr>
      <vt:lpstr>Qrr</vt:lpstr>
      <vt:lpstr>Rds_on</vt:lpstr>
      <vt:lpstr>Rfb1_tempco</vt:lpstr>
      <vt:lpstr>Rfb2_tempco</vt:lpstr>
      <vt:lpstr>Risense</vt:lpstr>
      <vt:lpstr>Risense_actual</vt:lpstr>
      <vt:lpstr>Rjc_bridge</vt:lpstr>
      <vt:lpstr>Rsense</vt:lpstr>
      <vt:lpstr>Rth_case_hs</vt:lpstr>
      <vt:lpstr>Rth_diode</vt:lpstr>
      <vt:lpstr>Rth_hs_bridge</vt:lpstr>
      <vt:lpstr>Rth_hs_diode</vt:lpstr>
      <vt:lpstr>Rth_hs_FET</vt:lpstr>
      <vt:lpstr>Rth_jc_FET</vt:lpstr>
      <vt:lpstr>Rtherm</vt:lpstr>
      <vt:lpstr>Rvcomp</vt:lpstr>
      <vt:lpstr>Rvins1</vt:lpstr>
      <vt:lpstr>Rvins2</vt:lpstr>
      <vt:lpstr>t_dropout_hu</vt:lpstr>
      <vt:lpstr>t_RFB2Cvsense</vt:lpstr>
      <vt:lpstr>Tamb</vt:lpstr>
      <vt:lpstr>tf_FET</vt:lpstr>
      <vt:lpstr>tinput_hu</vt:lpstr>
      <vt:lpstr>Tj_bridge</vt:lpstr>
      <vt:lpstr>Tj_diode</vt:lpstr>
      <vt:lpstr>Tj_FET</vt:lpstr>
      <vt:lpstr>tr_FET</vt:lpstr>
      <vt:lpstr>uA</vt:lpstr>
      <vt:lpstr>uC</vt:lpstr>
      <vt:lpstr>uF</vt:lpstr>
      <vt:lpstr>uH</vt:lpstr>
      <vt:lpstr>us</vt:lpstr>
      <vt:lpstr>uSiemens</vt:lpstr>
      <vt:lpstr>V_ripplefactor</vt:lpstr>
      <vt:lpstr>Vac_off</vt:lpstr>
      <vt:lpstr>Vac_on</vt:lpstr>
      <vt:lpstr>Vacin_max</vt:lpstr>
      <vt:lpstr>Vacin_min</vt:lpstr>
      <vt:lpstr>Vacoff_desired</vt:lpstr>
      <vt:lpstr>VCC</vt:lpstr>
      <vt:lpstr>Vcomp</vt:lpstr>
      <vt:lpstr>VCOMP1</vt:lpstr>
      <vt:lpstr>VCOMP2</vt:lpstr>
      <vt:lpstr>VCOMP3</vt:lpstr>
      <vt:lpstr>VCOMP4</vt:lpstr>
      <vt:lpstr>Vf</vt:lpstr>
      <vt:lpstr>Vf_bridge</vt:lpstr>
      <vt:lpstr>Vgs</vt:lpstr>
      <vt:lpstr>Vin_max</vt:lpstr>
      <vt:lpstr>Vin_min</vt:lpstr>
      <vt:lpstr>Vin_nom</vt:lpstr>
      <vt:lpstr>Vin_rect_max</vt:lpstr>
      <vt:lpstr>Vin_rect_min</vt:lpstr>
      <vt:lpstr>Vin_ripple</vt:lpstr>
      <vt:lpstr>VINnom</vt:lpstr>
      <vt:lpstr>Vins_brnmax</vt:lpstr>
      <vt:lpstr>Vins_brnmin</vt:lpstr>
      <vt:lpstr>Vins_brnnom</vt:lpstr>
      <vt:lpstr>Vins_enmax</vt:lpstr>
      <vt:lpstr>Vins_enmin</vt:lpstr>
      <vt:lpstr>Vins_ennom</vt:lpstr>
      <vt:lpstr>Visense_soc</vt:lpstr>
      <vt:lpstr>Vout</vt:lpstr>
      <vt:lpstr>Vout_holdup</vt:lpstr>
      <vt:lpstr>Vout_max</vt:lpstr>
      <vt:lpstr>Vout_min</vt:lpstr>
      <vt:lpstr>Vout_nom</vt:lpstr>
      <vt:lpstr>Vout_ripplepp</vt:lpstr>
      <vt:lpstr>Vovp</vt:lpstr>
      <vt:lpstr>Vpcl_max</vt:lpstr>
      <vt:lpstr>Vref</vt:lpstr>
      <vt:lpstr>Vref_ovp</vt:lpstr>
      <vt:lpstr>Vref_ovpmax</vt:lpstr>
      <vt:lpstr>Vref_ovpmin</vt:lpstr>
      <vt:lpstr>Vref_uvd</vt:lpstr>
      <vt:lpstr>Vref_uvdmax</vt:lpstr>
      <vt:lpstr>Vref_uvdmin</vt:lpstr>
      <vt:lpstr>Vuvd</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 User</dc:creator>
  <cp:lastModifiedBy>Sebi</cp:lastModifiedBy>
  <cp:lastPrinted>2008-11-18T20:12:00Z</cp:lastPrinted>
  <dcterms:created xsi:type="dcterms:W3CDTF">2006-09-26T18:05:02Z</dcterms:created>
  <dcterms:modified xsi:type="dcterms:W3CDTF">2020-02-10T20:13:40Z</dcterms:modified>
</cp:coreProperties>
</file>